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d_svc_ctrlm\AppData\Local\Temp\"/>
    </mc:Choice>
  </mc:AlternateContent>
  <bookViews>
    <workbookView xWindow="0" yWindow="0" windowWidth="15360" windowHeight="8115"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<sst xmlns="http://schemas.openxmlformats.org/spreadsheetml/2006/main" count="2084" uniqueCount="1520">
  <si>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</si>
  <si>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</si>
  <si>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</si>
  <si>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</si>
  <si>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</si>
  <si>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</si>
  <si>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</si>
  <si>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</si>
  <si>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</si>
  <si>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</si>
  <si>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</si>
  <si>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</si>
  <si>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</si>
  <si>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</si>
  <si>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</si>
  <si>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</si>
  <si>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</si>
  <si>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</si>
  <si>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</si>
  <si>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</si>
  <si>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</si>
  <si>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</si>
  <si>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</si>
  <si>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</si>
  <si>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</si>
  <si>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</si>
  <si>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</si>
  <si>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</si>
  <si>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</si>
  <si>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</si>
  <si>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</si>
  <si>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</si>
  <si>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</si>
  <si>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</si>
  <si>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</si>
  <si>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</si>
  <si>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</si>
  <si>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</si>
  <si>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</si>
  <si>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</si>
  <si>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</si>
  <si>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</si>
  <si>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</si>
  <si>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</si>
  <si>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</si>
  <si>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</si>
  <si>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</si>
  <si>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</si>
  <si>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</si>
  <si>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</si>
  <si>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</si>
  <si>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</si>
  <si>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</si>
  <si>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</si>
  <si>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</si>
  <si>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</si>
  <si>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</si>
  <si>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</si>
  <si>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</si>
  <si>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</si>
  <si>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</si>
  <si>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</si>
  <si>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</si>
  <si>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</si>
  <si>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</si>
  <si>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</si>
  <si>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</si>
  <si>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</si>
  <si>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</si>
  <si>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</si>
  <si>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</si>
  <si>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</si>
  <si>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</si>
  <si>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</si>
  <si>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</si>
  <si>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</si>
  <si>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</si>
  <si>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</si>
  <si>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</si>
  <si>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</si>
  <si>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</si>
  <si>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</si>
  <si>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</si>
  <si>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</si>
  <si>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</si>
  <si>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</si>
  <si>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</si>
  <si>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</si>
  <si>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</si>
  <si>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</si>
  <si>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</si>
  <si>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</si>
  <si>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</si>
  <si>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</si>
  <si>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</si>
  <si>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</si>
  <si>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</si>
  <si>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</si>
  <si>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</si>
  <si>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</si>
  <si>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</si>
  <si>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</si>
  <si>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</si>
  <si>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</si>
  <si>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</si>
  <si>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</si>
  <si>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</si>
  <si>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</si>
  <si>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</si>
  <si>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</si>
  <si>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</si>
  <si>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</si>
  <si>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</si>
  <si>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</si>
  <si>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</si>
  <si>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</si>
  <si>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</si>
  <si>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</si>
  <si>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</si>
  <si>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</si>
  <si>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</si>
  <si>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</si>
  <si>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</si>
  <si>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</si>
  <si>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</si>
  <si>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</si>
  <si>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</si>
  <si>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</si>
  <si>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</si>
  <si>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</si>
  <si>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</si>
  <si>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</si>
  <si>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</si>
  <si>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</si>
  <si>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</si>
  <si>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</si>
  <si>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</si>
  <si>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</si>
  <si>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</si>
  <si>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</si>
  <si>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</si>
  <si>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</si>
  <si>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</si>
  <si>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</si>
  <si>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</si>
  <si>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</si>
  <si>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</si>
  <si>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</si>
  <si>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</si>
  <si>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</si>
  <si>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</si>
  <si>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</si>
  <si>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</si>
  <si>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</si>
  <si>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</si>
  <si>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</si>
  <si>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</si>
  <si>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</si>
  <si>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</si>
  <si>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</si>
  <si>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</si>
  <si>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</si>
  <si>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</si>
  <si>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</si>
  <si>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</si>
  <si>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</si>
  <si>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</si>
  <si>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</si>
  <si>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</si>
  <si>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</si>
  <si>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</si>
  <si>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</si>
  <si>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</si>
  <si>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</si>
  <si>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</si>
  <si>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</si>
  <si>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</si>
  <si>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</si>
  <si>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</si>
  <si>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</si>
  <si>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</si>
  <si>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</si>
  <si>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</si>
  <si>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</si>
  <si>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</si>
  <si>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</si>
  <si>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</si>
  <si>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</si>
  <si>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</si>
  <si>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</si>
  <si>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</si>
  <si>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</si>
  <si>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</si>
  <si>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</si>
  <si>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</si>
  <si>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</si>
  <si>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</si>
  <si>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</si>
  <si>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</si>
  <si>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</si>
  <si>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</si>
  <si>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</si>
  <si>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</si>
  <si>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</si>
  <si>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</si>
  <si>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</si>
  <si>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</si>
  <si>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</si>
  <si>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</si>
  <si>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</si>
  <si>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</si>
  <si>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</si>
  <si>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</si>
  <si>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</si>
  <si>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</si>
  <si>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</si>
  <si>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</si>
  <si>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</si>
  <si>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</si>
  <si>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</si>
  <si>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</si>
  <si>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</si>
  <si>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</si>
  <si>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</si>
  <si>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</si>
  <si>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</si>
  <si>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</si>
  <si>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</si>
  <si>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</si>
  <si>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</si>
  <si>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</si>
  <si>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</si>
  <si>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</si>
  <si>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</si>
  <si>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</si>
  <si>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</si>
  <si>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</si>
  <si>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</si>
  <si>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</si>
  <si>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</si>
  <si>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</si>
  <si>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</si>
  <si>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</si>
  <si>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</si>
  <si>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</si>
  <si>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</si>
  <si>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</si>
  <si>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</si>
  <si>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</si>
  <si>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</si>
  <si>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</si>
  <si>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</si>
  <si>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</si>
  <si>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</si>
  <si>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</si>
  <si>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</si>
  <si>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</si>
  <si>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</si>
  <si>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</si>
  <si>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</si>
  <si>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</si>
  <si>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</si>
  <si>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</si>
  <si>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</si>
  <si>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</si>
  <si>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</si>
  <si>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</si>
  <si>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</si>
  <si>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</si>
  <si>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</si>
  <si>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</si>
  <si>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</si>
  <si>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</si>
  <si>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</si>
  <si>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</si>
  <si>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</si>
  <si>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</si>
  <si>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</si>
  <si>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</si>
  <si>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</si>
  <si>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</si>
  <si>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</si>
  <si>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</si>
  <si>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</si>
  <si>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</si>
  <si>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</si>
  <si>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</si>
  <si>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</si>
  <si>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</si>
  <si>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</si>
  <si>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</si>
  <si>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</si>
  <si>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</si>
  <si>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</si>
  <si>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</si>
  <si>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</si>
  <si>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</si>
  <si>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</si>
  <si>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</si>
  <si>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</si>
  <si>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</si>
  <si>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</si>
  <si>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</si>
  <si>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</si>
  <si>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</si>
  <si>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</si>
  <si>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</si>
  <si>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</si>
  <si>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</si>
  <si>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</si>
  <si>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</si>
  <si>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</si>
  <si>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</si>
  <si>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</si>
  <si>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</si>
  <si>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</si>
  <si>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</si>
  <si>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</si>
  <si>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</si>
  <si>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</si>
  <si>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</si>
  <si>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</si>
  <si>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</si>
  <si>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</si>
  <si>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</si>
  <si>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</si>
  <si>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</si>
  <si>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</si>
  <si>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</si>
  <si>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</si>
  <si>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</si>
  <si>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</si>
  <si>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</si>
  <si>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</si>
  <si>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</si>
  <si>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</si>
  <si>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</si>
  <si>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</si>
  <si>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</si>
  <si>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</si>
  <si>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</si>
  <si>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</si>
  <si>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</si>
  <si>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</si>
  <si>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</si>
  <si>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</si>
  <si>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</si>
  <si>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</si>
  <si>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</si>
  <si>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</si>
  <si>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</si>
  <si>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</si>
  <si>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</si>
  <si>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</si>
  <si>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</si>
  <si>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</si>
  <si>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</si>
  <si>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</si>
  <si>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</si>
  <si>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</si>
  <si>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</si>
  <si>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</si>
  <si>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</si>
  <si>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</si>
  <si>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</si>
  <si>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</si>
  <si>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</si>
  <si>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</si>
  <si>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</si>
  <si>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</si>
  <si>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</si>
  <si>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</si>
  <si>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</si>
  <si>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</si>
  <si>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</si>
  <si>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</si>
  <si>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</si>
  <si>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</si>
  <si>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</si>
  <si>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</si>
  <si>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</si>
  <si>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</si>
  <si>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</si>
  <si>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</si>
  <si>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</si>
  <si>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</si>
  <si>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</si>
  <si>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</si>
  <si>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</si>
  <si>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</si>
  <si>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</si>
  <si>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</si>
  <si>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</si>
  <si>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</si>
  <si>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</si>
  <si>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</si>
  <si>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</si>
  <si>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</si>
  <si>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</si>
  <si>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</si>
  <si>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</si>
  <si>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</si>
  <si>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</si>
  <si>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</si>
  <si>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</si>
  <si>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</si>
  <si>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</si>
  <si>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</si>
  <si>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</si>
  <si>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</si>
  <si>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</si>
  <si>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</si>
  <si>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</si>
  <si>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</si>
  <si>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</si>
  <si>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</si>
  <si>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</si>
  <si>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</si>
  <si>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</si>
  <si>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</si>
  <si>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</si>
  <si>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</si>
  <si>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</si>
  <si>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</si>
  <si>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</si>
  <si>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</si>
  <si>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</si>
  <si>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</si>
  <si>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</si>
  <si>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</si>
  <si>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</si>
  <si>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</si>
  <si>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</si>
  <si>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</si>
  <si>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</si>
  <si>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</si>
  <si>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</si>
  <si>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</si>
  <si>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</si>
  <si>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</si>
  <si>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</si>
  <si>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</si>
  <si>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</si>
  <si>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</si>
  <si>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</si>
  <si>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</si>
  <si>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</si>
  <si>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</si>
  <si>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</si>
  <si>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</si>
  <si>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</si>
  <si>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</si>
  <si>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</si>
  <si>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</si>
  <si>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</si>
  <si>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</si>
  <si>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</si>
  <si>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</si>
  <si>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</si>
  <si>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</si>
  <si>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</si>
  <si>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</si>
  <si>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</si>
  <si>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</si>
  <si>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</si>
  <si>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</si>
  <si>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</si>
  <si>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</si>
  <si>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</si>
  <si>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</si>
  <si>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</si>
  <si>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</si>
  <si>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</si>
  <si>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</si>
  <si>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</si>
  <si>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</si>
  <si>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</si>
  <si>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</si>
  <si>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</si>
  <si>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</si>
  <si>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</si>
  <si>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</si>
  <si>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</si>
  <si>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</si>
  <si>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</si>
  <si>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</si>
  <si>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</si>
  <si>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</si>
  <si>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</si>
  <si>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</si>
  <si>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</si>
  <si>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</si>
  <si>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</si>
  <si>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</si>
  <si>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</si>
  <si>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</si>
  <si>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</si>
  <si>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</si>
  <si>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</si>
  <si>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</si>
  <si>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</si>
  <si>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</si>
  <si>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</si>
  <si>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</si>
  <si>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</si>
  <si>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</si>
  <si>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</si>
  <si>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</si>
  <si>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</si>
  <si>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</si>
  <si>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</si>
  <si>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</si>
  <si>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</si>
  <si>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</si>
  <si>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</si>
  <si>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</si>
  <si>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</si>
  <si>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</si>
  <si>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</si>
  <si>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</si>
  <si>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</si>
  <si>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</si>
  <si>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</si>
  <si>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</si>
  <si>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</si>
  <si>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</si>
  <si>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</si>
  <si>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</si>
  <si>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</si>
  <si>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</si>
  <si>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</si>
  <si>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</si>
  <si>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</si>
  <si>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</si>
  <si>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</si>
  <si>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</si>
  <si>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</si>
  <si>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</si>
  <si>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</si>
  <si>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</si>
  <si>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</si>
  <si>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</si>
  <si>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</si>
  <si>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</si>
  <si>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</si>
  <si>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</si>
  <si>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</si>
  <si>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</si>
  <si>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</si>
  <si>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</si>
  <si>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</si>
  <si>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</si>
  <si>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</si>
  <si>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</si>
  <si>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</si>
  <si>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</si>
  <si>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</si>
  <si>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</si>
  <si>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</si>
  <si>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</si>
  <si>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</si>
  <si>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</si>
  <si>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</si>
  <si>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</si>
  <si>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</si>
  <si>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</si>
  <si>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</si>
  <si>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</si>
  <si>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</si>
  <si>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</si>
  <si>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</si>
  <si>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</si>
  <si>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</si>
  <si>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</si>
  <si>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</si>
  <si>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</si>
  <si>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</si>
  <si>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</si>
  <si>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</si>
  <si>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</si>
  <si>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</si>
  <si>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</si>
  <si>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</si>
  <si>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</si>
  <si>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</si>
  <si>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</si>
  <si>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</si>
  <si>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</si>
  <si>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</si>
  <si>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</si>
  <si>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</si>
  <si>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</si>
  <si>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</si>
  <si>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</si>
  <si>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</si>
  <si>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</si>
  <si>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</si>
  <si>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</si>
  <si>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</si>
  <si>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</si>
  <si>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</si>
  <si>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</si>
  <si>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</si>
  <si>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</si>
  <si>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</si>
  <si>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</si>
  <si>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</si>
  <si>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</si>
  <si>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</si>
  <si>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</si>
  <si>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</si>
  <si>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</si>
  <si>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</si>
  <si>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</si>
  <si>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</si>
  <si>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</si>
  <si>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</si>
  <si>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</si>
  <si>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</si>
  <si>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</si>
  <si>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</si>
  <si>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</si>
  <si>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</si>
  <si>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</si>
  <si>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</si>
  <si>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</si>
  <si>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</si>
  <si>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</si>
  <si>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</si>
  <si>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</si>
  <si>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</si>
  <si>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</si>
  <si>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</si>
  <si>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</si>
  <si>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</si>
  <si>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</si>
  <si>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</si>
  <si>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</si>
  <si>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</si>
  <si>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</si>
  <si>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</si>
  <si>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</si>
  <si>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</si>
  <si>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</si>
  <si>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</si>
  <si>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</si>
  <si>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</si>
  <si>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</si>
  <si>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</si>
  <si>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</si>
  <si>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</si>
  <si>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</si>
  <si>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</si>
  <si>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</si>
  <si>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</si>
  <si>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</si>
  <si>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</si>
  <si>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</si>
  <si>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</si>
  <si>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</si>
  <si>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</si>
  <si>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</si>
  <si>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</si>
  <si>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</si>
  <si>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</si>
  <si>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</si>
  <si>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</si>
  <si>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</si>
  <si>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</si>
  <si>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</si>
  <si>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</si>
  <si>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</si>
  <si>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</si>
  <si>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</si>
  <si>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</si>
  <si>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</si>
  <si>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</si>
  <si>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</si>
  <si>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</si>
  <si>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</si>
  <si>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</si>
  <si>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</si>
  <si>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</si>
  <si>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</si>
  <si>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</si>
  <si>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</si>
  <si>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</si>
  <si>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</si>
  <si>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</si>
  <si>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</si>
  <si>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</si>
  <si>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</si>
  <si>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</si>
  <si>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</si>
  <si>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</si>
  <si>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</si>
  <si>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</si>
  <si>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</si>
  <si>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</si>
  <si>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</si>
  <si>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</si>
  <si>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</si>
  <si>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</si>
  <si>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</si>
  <si>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</si>
  <si>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</si>
  <si>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</si>
  <si>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</si>
  <si>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</si>
  <si>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</si>
  <si>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</si>
  <si>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</si>
  <si>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</si>
  <si>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</si>
  <si>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</si>
  <si>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</si>
  <si>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</si>
  <si>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</si>
  <si>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</si>
  <si>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</si>
  <si>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</si>
  <si>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</si>
  <si>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</si>
  <si>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</si>
  <si>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</si>
  <si>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</si>
  <si>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</si>
  <si>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</si>
  <si>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</si>
  <si>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</si>
  <si>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</si>
  <si>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</si>
  <si>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</si>
  <si>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</si>
  <si>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</si>
  <si>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</si>
  <si>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</si>
  <si>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</si>
  <si>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</si>
  <si>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</si>
  <si>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</si>
  <si>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</si>
  <si>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</si>
  <si>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</si>
  <si>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</si>
  <si>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</si>
  <si>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</si>
  <si>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</si>
  <si>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</si>
  <si>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</si>
  <si>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</si>
  <si>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</si>
  <si>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</si>
  <si>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</si>
  <si>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</si>
  <si>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</si>
  <si>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</si>
  <si>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</si>
  <si>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</si>
  <si>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</si>
  <si>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</si>
  <si>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</si>
  <si>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</si>
  <si>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</si>
  <si>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</si>
  <si>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</si>
  <si>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</si>
  <si>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</si>
  <si>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</si>
  <si>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</si>
  <si>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</si>
  <si>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</si>
  <si>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</si>
  <si>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</si>
  <si>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</si>
  <si>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</si>
  <si>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</si>
  <si>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</si>
  <si>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</si>
  <si>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</si>
  <si>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</si>
  <si>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</si>
  <si>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</si>
  <si>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</si>
  <si>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</si>
  <si>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</si>
  <si>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</si>
  <si>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</si>
  <si>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</si>
  <si>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</si>
  <si>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</si>
  <si>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</si>
  <si>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</si>
  <si>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</si>
  <si>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</si>
  <si>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</si>
  <si>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</si>
  <si>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</si>
  <si>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</si>
  <si>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</si>
  <si>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</si>
  <si>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</si>
  <si>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</si>
  <si>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</si>
  <si>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</si>
  <si>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</si>
  <si>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</si>
  <si>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</si>
  <si>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</si>
  <si>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</si>
  <si>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</si>
  <si>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</si>
  <si>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</si>
  <si>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</si>
  <si>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</si>
  <si>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</si>
  <si>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</si>
  <si>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</si>
  <si>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</si>
  <si>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</si>
  <si>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</si>
  <si>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</si>
  <si>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</si>
  <si>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</si>
  <si>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</si>
  <si>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</si>
  <si>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</si>
  <si>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</si>
  <si>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</si>
  <si>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</si>
  <si>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</si>
  <si>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</si>
  <si>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</si>
  <si>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</si>
  <si>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</si>
  <si>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</si>
  <si>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</si>
  <si>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</si>
  <si>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</si>
  <si>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</si>
  <si>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</si>
  <si>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</si>
  <si>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</si>
  <si>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</si>
  <si>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</si>
  <si>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</si>
  <si>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</si>
  <si>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</si>
  <si>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</si>
  <si>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</si>
  <si>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</si>
  <si>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</si>
  <si>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</si>
  <si>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</si>
  <si>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</si>
  <si>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</si>
  <si>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</si>
  <si>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</si>
  <si>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</si>
  <si>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</si>
  <si>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</si>
  <si>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</si>
  <si>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</si>
  <si>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</si>
  <si>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</si>
  <si>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</si>
  <si>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</si>
  <si>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</si>
  <si>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</si>
  <si>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</si>
  <si>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</si>
  <si>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</si>
  <si>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</si>
  <si>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</si>
  <si>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</si>
  <si>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</si>
  <si>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</si>
  <si>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</si>
  <si>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</si>
  <si>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</si>
  <si>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</si>
  <si>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</si>
  <si>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</si>
  <si>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</si>
  <si>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</si>
  <si>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</si>
  <si>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</si>
  <si>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</si>
  <si>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</si>
  <si>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</si>
  <si>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</si>
  <si>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</si>
  <si>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</si>
  <si>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</si>
  <si>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</si>
  <si>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</si>
  <si>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</si>
  <si>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</si>
  <si>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</si>
  <si>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</si>
  <si>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</si>
  <si>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</si>
  <si>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</si>
  <si>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</si>
  <si>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</si>
  <si>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</si>
  <si>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</si>
  <si>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</si>
  <si>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</si>
  <si>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</si>
  <si>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</si>
  <si>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</si>
  <si>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</si>
  <si>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</si>
  <si>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</si>
  <si>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</si>
  <si>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</si>
  <si>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</si>
  <si>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</si>
  <si>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</si>
  <si>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</si>
  <si>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</si>
  <si>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</si>
  <si>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</si>
  <si>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</si>
  <si>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</si>
  <si>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</si>
  <si>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</si>
  <si>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</si>
  <si>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</si>
  <si>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</si>
  <si>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</si>
  <si>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</si>
  <si>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</si>
  <si>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</si>
  <si>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</si>
  <si>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</si>
  <si>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</si>
  <si>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</si>
  <si>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</si>
  <si>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</si>
  <si>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</si>
  <si>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</si>
  <si>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</si>
  <si>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</si>
  <si>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</si>
  <si>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</si>
  <si>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</si>
  <si>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</si>
  <si>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</si>
  <si>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</si>
  <si>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</si>
  <si>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</si>
  <si>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</si>
  <si>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</si>
  <si>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</si>
  <si>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</si>
  <si>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</si>
  <si>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</si>
  <si>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</si>
  <si>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</si>
  <si>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</si>
  <si>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</si>
  <si>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</si>
  <si>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</si>
  <si>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</si>
  <si>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</si>
  <si>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</si>
  <si>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</si>
  <si>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</si>
  <si>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</si>
  <si>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</si>
  <si>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</si>
  <si>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</si>
  <si>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</si>
  <si>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</si>
  <si>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</si>
  <si>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</si>
  <si>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</si>
  <si>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</si>
  <si>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</si>
  <si>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</si>
  <si>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</si>
  <si>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</si>
  <si>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</si>
  <si>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</si>
  <si>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</si>
  <si>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</si>
  <si>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</si>
  <si>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</si>
  <si>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</si>
  <si>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</si>
  <si>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</si>
  <si>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</si>
  <si>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</si>
  <si>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</si>
  <si>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</si>
  <si>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</si>
  <si>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</si>
  <si>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</si>
  <si>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</si>
  <si>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</si>
  <si>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</si>
  <si>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</si>
  <si>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</si>
  <si>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</si>
  <si>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</si>
  <si>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</si>
  <si>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</si>
  <si>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</si>
  <si>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</si>
  <si>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</si>
  <si>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</si>
  <si>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</si>
  <si>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</si>
  <si>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</si>
  <si>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</si>
  <si>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</si>
  <si>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</si>
  <si>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</si>
  <si>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</si>
  <si>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</si>
  <si>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</si>
  <si>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</si>
  <si>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</si>
  <si>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</si>
  <si>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</si>
  <si>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</si>
  <si>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</si>
  <si>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</si>
  <si>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</si>
  <si>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</si>
  <si>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</si>
  <si>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</si>
  <si>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</si>
  <si>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</si>
  <si>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</si>
  <si>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</si>
  <si>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</si>
  <si>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</si>
  <si>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</si>
  <si>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</si>
  <si>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</si>
  <si>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</si>
  <si>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</si>
  <si>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</si>
  <si>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</si>
  <si>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</si>
  <si>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</si>
  <si>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</si>
  <si>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</si>
  <si>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</si>
  <si>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</si>
  <si>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</si>
  <si>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</si>
  <si>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</si>
  <si>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</si>
  <si>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</si>
  <si>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</si>
  <si>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</si>
  <si>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</si>
  <si>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</si>
  <si>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</si>
  <si>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</si>
  <si>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</si>
  <si>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</si>
  <si>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</si>
  <si>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</si>
  <si>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</si>
  <si>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</si>
  <si>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</si>
  <si>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</si>
  <si>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</si>
  <si>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</si>
  <si>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</si>
  <si>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</si>
  <si>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</si>
  <si>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</si>
  <si>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</si>
  <si>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</si>
  <si>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</si>
  <si>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</si>
  <si>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</si>
  <si>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</si>
  <si>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</si>
  <si>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</si>
  <si>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</si>
  <si>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</si>
  <si>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</si>
  <si>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</si>
  <si>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</si>
  <si>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</si>
  <si>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</si>
  <si>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</si>
  <si>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</si>
  <si>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</si>
  <si>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</si>
  <si>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</si>
  <si>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</si>
  <si>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</si>
  <si>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</si>
  <si>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</si>
  <si>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</si>
  <si>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</si>
  <si>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</si>
  <si>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</si>
  <si>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</si>
  <si>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</si>
  <si>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</si>
  <si>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</si>
  <si>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</si>
  <si>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</si>
  <si>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</si>
  <si>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</si>
  <si>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</si>
  <si>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</si>
  <si>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</si>
  <si>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</si>
  <si>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</si>
  <si>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</si>
  <si>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</si>
  <si>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</si>
  <si>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</si>
  <si>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</si>
  <si>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</si>
  <si>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</si>
  <si>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</si>
  <si>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</si>
  <si>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</si>
  <si>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</si>
  <si>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</si>
  <si>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</si>
  <si>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</si>
  <si>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</si>
  <si>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</si>
  <si>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</si>
  <si>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</si>
  <si>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</si>
  <si>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</si>
  <si>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</si>
  <si>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</si>
  <si>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</si>
  <si>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</si>
  <si>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</si>
  <si>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</si>
  <si>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</si>
  <si>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</si>
  <si>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</si>
  <si>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</si>
  <si>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</si>
  <si>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</si>
  <si>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</si>
  <si>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</si>
  <si>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</si>
  <si>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</si>
  <si>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</si>
  <si>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</si>
  <si>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</si>
  <si>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</si>
  <si>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</si>
  <si>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</si>
  <si>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</si>
  <si>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</si>
  <si>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</si>
  <si>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</si>
  <si>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</si>
  <si>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</si>
  <si>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</si>
  <si>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</si>
  <si>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</si>
  <si>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</si>
  <si>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</si>
  <si>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</si>
  <si>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</si>
  <si>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</si>
  <si>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</si>
  <si>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</si>
  <si>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</si>
  <si>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</si>
  <si>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</si>
  <si>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</si>
  <si>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</si>
  <si>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</si>
  <si>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</si>
  <si>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</si>
  <si>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</si>
  <si>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</si>
  <si>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</si>
  <si>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</si>
  <si>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</si>
  <si>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</si>
  <si>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</si>
  <si>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</si>
  <si>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</si>
  <si>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</si>
  <si>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</si>
  <si>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</si>
  <si>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</si>
  <si>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</si>
  <si>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</si>
  <si>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</si>
  <si>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</si>
  <si>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</si>
  <si>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</si>
  <si>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</si>
  <si>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</si>
  <si>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</si>
  <si>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</si>
  <si>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</si>
  <si>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</si>
  <si>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</si>
  <si>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</si>
  <si>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</si>
  <si>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</si>
  <si>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</si>
  <si>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</si>
  <si>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</si>
  <si>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</si>
  <si>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</si>
  <si>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</si>
  <si>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</si>
  <si>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</si>
  <si>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</si>
  <si>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</si>
  <si>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</si>
  <si>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</si>
  <si>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</si>
  <si>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</si>
  <si>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</si>
  <si>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</si>
  <si>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</si>
  <si>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</si>
  <si>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</si>
  <si>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</si>
  <si>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</si>
  <si>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</si>
  <si>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</si>
  <si>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</si>
  <si>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</si>
  <si>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</si>
  <si>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</si>
  <si>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</si>
  <si>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</si>
  <si>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</si>
  <si>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</si>
  <si>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</si>
  <si>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</si>
  <si>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</si>
  <si>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</si>
  <si>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</si>
  <si>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</si>
  <si>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</si>
  <si>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</si>
  <si>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</si>
  <si>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</si>
  <si>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</si>
  <si>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</si>
  <si>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</si>
  <si>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</si>
  <si>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</si>
  <si>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</si>
  <si>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</si>
  <si>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</si>
  <si>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</si>
  <si>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</si>
  <si>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</si>
  <si>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</si>
  <si>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</si>
  <si>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</si>
  <si>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</si>
  <si>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</si>
  <si>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</si>
  <si>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</si>
  <si>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</si>
  <si>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</si>
  <si>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</si>
  <si>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</si>
  <si>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</si>
  <si>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</si>
  <si>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</si>
  <si>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</si>
  <si>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</si>
  <si>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</si>
  <si>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</si>
  <si>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</si>
  <si>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</si>
  <si>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</si>
  <si>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</si>
  <si>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</si>
  <si>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</si>
  <si>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</si>
  <si>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</si>
  <si>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</si>
  <si>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</si>
  <si>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</si>
  <si>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</si>
  <si>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</si>
  <si>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</si>
  <si>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</si>
  <si>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</si>
  <si>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</si>
  <si>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</si>
  <si>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</si>
  <si>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</si>
  <si>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</si>
  <si>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</si>
  <si>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</si>
  <si>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</si>
  <si>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</si>
  <si>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</si>
  <si>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</si>
  <si>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</si>
  <si>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</si>
  <si>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</si>
  <si>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</si>
  <si>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</si>
  <si>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</si>
  <si>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</si>
  <si>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</si>
  <si>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</si>
  <si>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</si>
  <si>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</si>
  <si>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</si>
  <si>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</si>
  <si>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</si>
  <si>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</si>
  <si>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</si>
  <si>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</si>
  <si>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</si>
  <si>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</si>
  <si>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</si>
  <si>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</si>
  <si>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</si>
  <si>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</si>
  <si>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</si>
  <si>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</si>
  <si>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</si>
  <si>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</si>
  <si>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</si>
  <si>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</si>
  <si>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</si>
  <si>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</si>
  <si>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</si>
  <si>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</si>
  <si>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</si>
  <si>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</si>
  <si>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</si>
  <si>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</si>
  <si>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</si>
  <si>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</si>
  <si>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</si>
  <si>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</si>
  <si>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</si>
  <si>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</si>
  <si>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</si>
  <si>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</si>
  <si>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</si>
  <si>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</si>
  <si>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</si>
  <si>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</si>
  <si>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</si>
  <si>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</si>
  <si>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</si>
  <si>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</si>
  <si>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</si>
  <si>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</si>
  <si>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</si>
  <si>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</si>
  <si>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</si>
  <si>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</si>
  <si>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</si>
  <si>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</si>
  <si>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</si>
  <si>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</si>
  <si>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</si>
  <si>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</si>
  <si>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</si>
  <si>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</si>
  <si>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</si>
  <si>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</si>
  <si>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</si>
  <si>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</si>
  <si>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</si>
  <si>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</si>
  <si>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</si>
  <si>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</si>
  <si>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</si>
  <si>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</si>
  <si>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</si>
  <si>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</si>
  <si>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</si>
  <si>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</si>
  <si>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</si>
  <si>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</si>
  <si>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</si>
  <si>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</si>
  <si>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</si>
  <si>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</si>
  <si>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</si>
  <si>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</si>
  <si>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</si>
  <si>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</si>
  <si>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</si>
  <si>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</si>
  <si>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</si>
  <si>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</si>
  <si>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</si>
  <si>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</si>
  <si>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</si>
  <si>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</si>
  <si>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</si>
  <si>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</si>
  <si>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</si>
  <si>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</si>
  <si>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</si>
  <si>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</si>
  <si>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</si>
  <si>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</si>
  <si>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</si>
  <si>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</si>
  <si>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</si>
  <si>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</si>
  <si>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</si>
  <si>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</si>
  <si>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</si>
  <si>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</si>
  <si>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</si>
  <si>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</si>
  <si>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</si>
  <si>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</si>
  <si>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</si>
  <si>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</si>
  <si>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</si>
  <si>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</si>
  <si>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</si>
  <si>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</si>
  <si>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</si>
  <si>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</si>
  <si>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</si>
  <si>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</si>
  <si>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</si>
  <si>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</si>
  <si>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</si>
  <si>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</si>
  <si>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</si>
  <si>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</si>
  <si>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</si>
  <si>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</si>
  <si>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</si>
  <si>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</si>
  <si>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</si>
  <si>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</si>
  <si>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</si>
  <si>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</si>
  <si>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</si>
  <si>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</si>
  <si>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</si>
  <si>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</si>
  <si>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</si>
  <si>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</si>
  <si>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</si>
  <si>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</si>
  <si>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</si>
  <si>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</si>
  <si>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</si>
  <si>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</si>
  <si>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</si>
  <si>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</si>
  <si>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</si>
  <si>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</si>
  <si>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</si>
  <si>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</si>
  <si>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</si>
  <si>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</si>
  <si>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</si>
  <si>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</si>
  <si>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</si>
  <si>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</si>
  <si>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</si>
  <si>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</si>
  <si>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</si>
  <si>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</si>
  <si>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</si>
  <si>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</si>
  <si>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</si>
  <si>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</si>
  <si>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</si>
  <si>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</si>
  <si>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</si>
  <si>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</si>
  <si>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</si>
  <si>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</si>
  <si>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</si>
  <si>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</si>
  <si>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</si>
  <si>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</si>
  <si>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</si>
  <si>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</si>
  <si>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</si>
  <si>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</si>
  <si>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</si>
  <si>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</si>
  <si>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</si>
  <si>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</si>
  <si>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</si>
  <si>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</si>
  <si>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</si>
  <si>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</si>
  <si>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</si>
  <si>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</si>
  <si>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31/03/2020</t>
  </si>
  <si>
    <t>31/03/2020</t>
  </si>
  <si>
    <t>Reporting date: 01/04/20</t>
  </si>
  <si>
    <t>CRD compliant: Yes</t>
  </si>
  <si>
    <t>Cover Pool 1</t>
  </si>
  <si>
    <t>Financial Supervisory Authority (FIN-FSA)</t>
  </si>
  <si>
    <t>AAA</t>
  </si>
  <si>
    <t>FI4000292669</t>
  </si>
  <si>
    <t>Fix</t>
  </si>
  <si>
    <t>FI4000378674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</si>
</sst>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1250.2354207200001</v>
      </c>
      <c r="F38" s="42"/>
      <c r="H38" s="23"/>
      <c r="L38" s="23"/>
      <c r="M38" s="23"/>
    </row>
    <row r="39" spans="1:13" x14ac:dyDescent="0.25">
      <c r="A39" s="25" t="s">
        <v>68</v>
      </c>
      <c r="B39" s="42" t="s">
        <v>69</v>
      </c>
      <c r="C39" s="147">
        <v>650</v>
      </c>
      <c r="F39" s="42"/>
      <c r="H39" s="23"/>
      <c r="L39" s="23"/>
      <c r="M39" s="23"/>
    </row>
    <row r="40" spans="1:13" outlineLevel="1" x14ac:dyDescent="0.25">
      <c r="A40" s="25" t="s">
        <v>70</v>
      </c>
      <c r="B40" s="48" t="s">
        <v>71</v>
      </c>
      <c r="C40" s="147">
        <v>1184.7298272099999</v>
      </c>
      <c r="F40" s="42"/>
      <c r="H40" s="23"/>
      <c r="L40" s="23"/>
      <c r="M40" s="23"/>
    </row>
    <row r="41" spans="1:13" outlineLevel="1" x14ac:dyDescent="0.25">
      <c r="A41" s="25" t="s">
        <v>73</v>
      </c>
      <c r="B41" s="48" t="s">
        <v>74</v>
      </c>
      <c r="C41" s="147">
        <v>660.46230632000004</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0.92343910880000024</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1250.2354207200001</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1250.2354207200001</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7.46</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171.38738472</v>
      </c>
      <c r="D70" s="280" t="s">
        <v>973</v>
      </c>
      <c r="E70" s="21"/>
      <c r="F70" s="50">
        <f t="shared" ref="F70:F76" si="2">IF($C$77=0,"",IF(C70="[for completion]","",C70/$C$77))</f>
        <v>0.13708408982680126</v>
      </c>
      <c r="G70" s="50" t="str">
        <f>IF($D$77=0,"",IF(D70="[Mark as ND1 if not relevant]","",D70/$D$77))</f>
        <v/>
      </c>
      <c r="H70" s="23"/>
      <c r="L70" s="23"/>
      <c r="M70" s="23"/>
    </row>
    <row r="71" spans="1:13" x14ac:dyDescent="0.25">
      <c r="A71" s="25" t="s">
        <v>118</v>
      </c>
      <c r="B71" s="133" t="s">
        <v>1329</v>
      </c>
      <c r="C71" s="147">
        <v>97.365207729999995</v>
      </c>
      <c r="D71" s="282" t="s">
        <v>973</v>
      </c>
      <c r="E71" s="21"/>
      <c r="F71" s="50">
        <f t="shared" si="2"/>
        <v>7.7877499001867523E-2</v>
      </c>
      <c r="G71" s="50" t="str">
        <f t="shared" ref="G71:G76" si="3">IF($D$77=0,"",IF(D71="[Mark as ND1 if not relevant]","",D71/$D$77))</f>
        <v/>
      </c>
      <c r="H71" s="23"/>
      <c r="L71" s="23"/>
      <c r="M71" s="23"/>
    </row>
    <row r="72" spans="1:13" x14ac:dyDescent="0.25">
      <c r="A72" s="25" t="s">
        <v>119</v>
      </c>
      <c r="B72" s="132" t="s">
        <v>1330</v>
      </c>
      <c r="C72" s="147">
        <v>92.480459690000004</v>
      </c>
      <c r="D72" s="282" t="s">
        <v>973</v>
      </c>
      <c r="E72" s="21"/>
      <c r="F72" s="50">
        <f t="shared" si="2"/>
        <v>7.397043641268905E-2</v>
      </c>
      <c r="G72" s="50" t="str">
        <f t="shared" si="3"/>
        <v/>
      </c>
      <c r="H72" s="23"/>
      <c r="L72" s="23"/>
      <c r="M72" s="23"/>
    </row>
    <row r="73" spans="1:13" x14ac:dyDescent="0.25">
      <c r="A73" s="25" t="s">
        <v>120</v>
      </c>
      <c r="B73" s="132" t="s">
        <v>1331</v>
      </c>
      <c r="C73" s="147">
        <v>90.646001589999997</v>
      </c>
      <c r="D73" s="282" t="s">
        <v>973</v>
      </c>
      <c r="E73" s="21"/>
      <c r="F73" s="50">
        <f t="shared" si="2"/>
        <v>7.2503146277100916E-2</v>
      </c>
      <c r="G73" s="50" t="str">
        <f t="shared" si="3"/>
        <v/>
      </c>
      <c r="H73" s="23"/>
      <c r="L73" s="23"/>
      <c r="M73" s="23"/>
    </row>
    <row r="74" spans="1:13" x14ac:dyDescent="0.25">
      <c r="A74" s="25" t="s">
        <v>121</v>
      </c>
      <c r="B74" s="132" t="s">
        <v>1332</v>
      </c>
      <c r="C74" s="147">
        <v>81.603947890000001</v>
      </c>
      <c r="D74" s="282" t="s">
        <v>973</v>
      </c>
      <c r="E74" s="21"/>
      <c r="F74" s="50">
        <f t="shared" si="2"/>
        <v>6.5270865420172047E-2</v>
      </c>
      <c r="G74" s="50" t="str">
        <f t="shared" si="3"/>
        <v/>
      </c>
      <c r="H74" s="23"/>
      <c r="L74" s="23"/>
      <c r="M74" s="23"/>
    </row>
    <row r="75" spans="1:13" x14ac:dyDescent="0.25">
      <c r="A75" s="25" t="s">
        <v>122</v>
      </c>
      <c r="B75" s="132" t="s">
        <v>1333</v>
      </c>
      <c r="C75" s="147">
        <v>340.28925475</v>
      </c>
      <c r="D75" s="282" t="s">
        <v>973</v>
      </c>
      <c r="E75" s="21"/>
      <c r="F75" s="50">
        <f t="shared" si="2"/>
        <v>0.27218014232176246</v>
      </c>
      <c r="G75" s="50" t="str">
        <f t="shared" si="3"/>
        <v/>
      </c>
      <c r="H75" s="23"/>
      <c r="L75" s="23"/>
      <c r="M75" s="23"/>
    </row>
    <row r="76" spans="1:13" x14ac:dyDescent="0.25">
      <c r="A76" s="25" t="s">
        <v>123</v>
      </c>
      <c r="B76" s="132" t="s">
        <v>1334</v>
      </c>
      <c r="C76" s="147">
        <v>376.46316436000001</v>
      </c>
      <c r="D76" s="282" t="s">
        <v>973</v>
      </c>
      <c r="E76" s="21"/>
      <c r="F76" s="50">
        <f t="shared" si="2"/>
        <v>0.30111382073960674</v>
      </c>
      <c r="G76" s="50" t="str">
        <f t="shared" si="3"/>
        <v/>
      </c>
      <c r="H76" s="23"/>
      <c r="L76" s="23"/>
      <c r="M76" s="23"/>
    </row>
    <row r="77" spans="1:13" x14ac:dyDescent="0.25">
      <c r="A77" s="25" t="s">
        <v>124</v>
      </c>
      <c r="B77" s="58" t="s">
        <v>103</v>
      </c>
      <c r="C77" s="293">
        <f>SUM(C70:C76)</f>
        <v>1250.23542073</v>
      </c>
      <c r="D77" s="293">
        <f>SUM(D70:D76)</f>
        <v>0</v>
      </c>
      <c r="E77" s="42"/>
      <c r="F77" s="148">
        <f>SUM(F70:F76)</f>
        <v>1</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3.3030599999999999</v>
      </c>
      <c r="D89" s="147">
        <v>4.3030600000000003</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25">
      <c r="A94" s="25" t="s">
        <v>146</v>
      </c>
      <c r="B94" s="133" t="s">
        <v>1329</v>
      </c>
      <c r="C94" s="147">
        <v>350</v>
      </c>
      <c r="D94" s="147">
        <v>0</v>
      </c>
      <c r="E94" s="21"/>
      <c r="F94" s="50">
        <f t="shared" ref="F94:F99" si="6">IF($C$100=0,"",IF(C94="[for completion]","",IF(C94="","",C94/$C$100)))</f>
        <v>0.53846153846153844</v>
      </c>
      <c r="G94" s="50">
        <f t="shared" ref="G94:G99" si="7">IF($D$100=0,"",IF(D94="[Mark as ND1 if not relevant]","",IF(D94="","",D94/$D$100)))</f>
        <v>0</v>
      </c>
      <c r="H94" s="23"/>
      <c r="L94" s="23"/>
      <c r="M94" s="23"/>
    </row>
    <row r="95" spans="1:13" x14ac:dyDescent="0.25">
      <c r="A95" s="25" t="s">
        <v>147</v>
      </c>
      <c r="B95" s="133" t="s">
        <v>1330</v>
      </c>
      <c r="C95" s="147">
        <v>0</v>
      </c>
      <c r="D95" s="147">
        <v>350</v>
      </c>
      <c r="E95" s="21"/>
      <c r="F95" s="50">
        <f t="shared" si="6"/>
        <v>0</v>
      </c>
      <c r="G95" s="50">
        <f t="shared" si="7"/>
        <v>0.53846153846153844</v>
      </c>
      <c r="H95" s="23"/>
      <c r="L95" s="23"/>
      <c r="M95" s="23"/>
    </row>
    <row r="96" spans="1:13" x14ac:dyDescent="0.25">
      <c r="A96" s="25" t="s">
        <v>148</v>
      </c>
      <c r="B96" s="133" t="s">
        <v>1331</v>
      </c>
      <c r="C96" s="147">
        <v>300</v>
      </c>
      <c r="D96" s="147">
        <v>0</v>
      </c>
      <c r="E96" s="21"/>
      <c r="F96" s="50">
        <f t="shared" si="6"/>
        <v>0.46153846153846156</v>
      </c>
      <c r="G96" s="50">
        <f t="shared" si="7"/>
        <v>0</v>
      </c>
      <c r="H96" s="23"/>
      <c r="L96" s="23"/>
      <c r="M96" s="23"/>
    </row>
    <row r="97" spans="1:14" x14ac:dyDescent="0.25">
      <c r="A97" s="25" t="s">
        <v>149</v>
      </c>
      <c r="B97" s="133" t="s">
        <v>1332</v>
      </c>
      <c r="C97" s="147">
        <v>0</v>
      </c>
      <c r="D97" s="147">
        <v>300</v>
      </c>
      <c r="E97" s="21"/>
      <c r="F97" s="50">
        <f t="shared" si="6"/>
        <v>0</v>
      </c>
      <c r="G97" s="50">
        <f t="shared" si="7"/>
        <v>0.46153846153846156</v>
      </c>
      <c r="H97" s="23"/>
      <c r="L97" s="23"/>
      <c r="M97" s="23"/>
    </row>
    <row r="98" spans="1:14" x14ac:dyDescent="0.25">
      <c r="A98" s="25" t="s">
        <v>150</v>
      </c>
      <c r="B98" s="133" t="s">
        <v>1333</v>
      </c>
      <c r="C98" s="147">
        <v>0</v>
      </c>
      <c r="D98" s="147">
        <v>0</v>
      </c>
      <c r="E98" s="21"/>
      <c r="F98" s="50">
        <f t="shared" si="6"/>
        <v>0</v>
      </c>
      <c r="G98" s="50">
        <f t="shared" si="7"/>
        <v>0</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650</v>
      </c>
      <c r="D100" s="293">
        <f>SUM(D93:D99)</f>
        <v>650</v>
      </c>
      <c r="E100" s="42"/>
      <c r="F100" s="148">
        <f>SUM(F93:F99)</f>
        <v>1</v>
      </c>
      <c r="G100" s="148">
        <f>SUM(G93:G99)</f>
        <v>1</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1250.2354207200001</v>
      </c>
      <c r="D112" s="147">
        <v>1250.2354207200001</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1250.2354207200001</v>
      </c>
      <c r="D127" s="147">
        <f>SUM(D112:D126)</f>
        <v>1250.2354207200001</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650</v>
      </c>
      <c r="D138" s="147">
        <v>650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650</v>
      </c>
      <c r="D153" s="147">
        <f>SUM(D138:D152)</f>
        <v>650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650</v>
      </c>
      <c r="D164" s="147">
        <v>0</v>
      </c>
      <c r="E164" s="62"/>
      <c r="F164" s="50">
        <f>IF($C$167=0,"",IF(C164="[for completion]","",IF(C164="","",C164/$C$167)))</f>
        <v>1</v>
      </c>
      <c r="G164" s="50">
        <f>IF($D$167=0,"",IF(D164="[for completion]","",IF(D164="","",D164/$D$167)))</f>
        <v>0</v>
      </c>
      <c r="H164" s="23"/>
      <c r="L164" s="23"/>
      <c r="M164" s="23"/>
    </row>
    <row r="165" spans="1:13" x14ac:dyDescent="0.25">
      <c r="A165" s="25" t="s">
        <v>237</v>
      </c>
      <c r="B165" s="23" t="s">
        <v>238</v>
      </c>
      <c r="C165" s="147">
        <v>0</v>
      </c>
      <c r="D165" s="147">
        <v>650</v>
      </c>
      <c r="E165" s="62"/>
      <c r="F165" s="50">
        <f t="shared" ref="F165:F166" si="18">IF($C$167=0,"",IF(C165="[for completion]","",IF(C165="","",C165/$C$167)))</f>
        <v>0</v>
      </c>
      <c r="G165" s="50">
        <f t="shared" ref="G165:G166" si="19">IF($D$167=0,"",IF(D165="[for completion]","",IF(D165="","",D165/$D$167)))</f>
        <v>1</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650</v>
      </c>
      <c r="D167" s="150">
        <f>SUM(D164:D166)</f>
        <v>650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1250.2354207200001</v>
      </c>
      <c r="E217" s="62"/>
      <c r="F217" s="50">
        <f>IF($C$38=0,"",IF(C217="[for completion]","",IF(C217="","",C217/$C$38)))</f>
        <v>1</v>
      </c>
      <c r="G217" s="50">
        <f>IF($C$39=0,"",IF(C217="[for completion]","",IF(C217="","",C217/$C$39)))</f>
        <v>1.9234391088000002</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1250.2354207200001</v>
      </c>
      <c r="E220" s="62"/>
      <c r="F220" s="292">
        <f>SUM(F217:F219)</f>
        <v>1</v>
      </c>
      <c r="G220" s="292">
        <f>SUM(G217:G219)</f>
        <v>1.9234391088000002</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650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1250.2354207200001</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1250.2354207200001</v>
      </c>
      <c r="D15" s="146"/>
      <c r="F15" s="297">
        <f>SUM(F12:F14)</f>
        <v>1</v>
      </c>
    </row>
    <row r="16" spans="1:7" outlineLevel="1" x14ac:dyDescent="0.25">
      <c r="A16" s="104" t="s">
        <v>503</v>
      </c>
      <c r="B16" s="119" t="s">
        <v>504</v>
      </c>
      <c r="C16" s="146">
        <v>82.059319889999998</v>
      </c>
      <c r="D16" s="146"/>
      <c r="F16" s="116">
        <f t="shared" ref="F16:F26" si="0">IF($C$15=0,"",IF(C16="[for completion]","",C16/$C$15))</f>
        <v>6.5635094423050919E-2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20766</v>
      </c>
      <c r="D28" s="360">
        <v>0</v>
      </c>
      <c r="E28" s="361"/>
      <c r="F28" s="360">
        <v>20766</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1.8759999999999999E-2</v>
      </c>
      <c r="D36" s="297">
        <v>0</v>
      </c>
      <c r="E36" s="358"/>
      <c r="F36" s="297">
        <v>1.8759999999999999E-2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3.4229999999999997E-2</v>
      </c>
      <c r="D100" s="297">
        <v>0</v>
      </c>
      <c r="E100" s="297"/>
      <c r="F100" s="297">
        <v>0</v>
      </c>
      <c r="G100" s="104"/>
    </row>
    <row r="101" spans="1:7" x14ac:dyDescent="0.25">
      <c r="A101" s="104" t="s">
        <v>627</v>
      </c>
      <c r="B101" s="145" t="s">
        <v>1339</v>
      </c>
      <c r="C101" s="297">
        <v>2.5699999999999998E-3</v>
      </c>
      <c r="D101" s="297">
        <v>0</v>
      </c>
      <c r="E101" s="297"/>
      <c r="F101" s="297">
        <v>0</v>
      </c>
      <c r="G101" s="104"/>
    </row>
    <row r="102" spans="1:7" x14ac:dyDescent="0.25">
      <c r="A102" s="104" t="s">
        <v>628</v>
      </c>
      <c r="B102" s="145" t="s">
        <v>1340</v>
      </c>
      <c r="C102" s="297">
        <v>4.0660000000000002E-2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1.23E-3</v>
      </c>
      <c r="D104" s="297">
        <v>0</v>
      </c>
      <c r="E104" s="297"/>
      <c r="F104" s="297">
        <v>0</v>
      </c>
      <c r="G104" s="104"/>
    </row>
    <row r="105" spans="1:7" x14ac:dyDescent="0.25">
      <c r="A105" s="104" t="s">
        <v>631</v>
      </c>
      <c r="B105" s="145" t="s">
        <v>1343</v>
      </c>
      <c r="C105" s="297">
        <v>5.3879999999999997E-2</v>
      </c>
      <c r="D105" s="297">
        <v>0</v>
      </c>
      <c r="E105" s="297"/>
      <c r="F105" s="297">
        <v>0</v>
      </c>
      <c r="G105" s="104"/>
    </row>
    <row r="106" spans="1:7" x14ac:dyDescent="0.25">
      <c r="A106" s="104" t="s">
        <v>632</v>
      </c>
      <c r="B106" s="145" t="s">
        <v>1344</v>
      </c>
      <c r="C106" s="297">
        <v>7.5870000000000007E-2</v>
      </c>
      <c r="D106" s="297">
        <v>0</v>
      </c>
      <c r="E106" s="297"/>
      <c r="F106" s="297">
        <v>0</v>
      </c>
      <c r="G106" s="104"/>
    </row>
    <row r="107" spans="1:7" x14ac:dyDescent="0.25">
      <c r="A107" s="104" t="s">
        <v>633</v>
      </c>
      <c r="B107" s="145" t="s">
        <v>1345</v>
      </c>
      <c r="C107" s="297">
        <v>9.9000000000000008E-3</v>
      </c>
      <c r="D107" s="297">
        <v>0</v>
      </c>
      <c r="E107" s="297"/>
      <c r="F107" s="297">
        <v>0</v>
      </c>
      <c r="G107" s="104"/>
    </row>
    <row r="108" spans="1:7" x14ac:dyDescent="0.25">
      <c r="A108" s="104" t="s">
        <v>634</v>
      </c>
      <c r="B108" s="145" t="s">
        <v>1346</v>
      </c>
      <c r="C108" s="297">
        <v>2.8420000000000001E-2</v>
      </c>
      <c r="D108" s="297">
        <v>0</v>
      </c>
      <c r="E108" s="297"/>
      <c r="F108" s="297">
        <v>0</v>
      </c>
      <c r="G108" s="104"/>
    </row>
    <row r="109" spans="1:7" x14ac:dyDescent="0.25">
      <c r="A109" s="104" t="s">
        <v>635</v>
      </c>
      <c r="B109" s="145" t="s">
        <v>1347</v>
      </c>
      <c r="C109" s="297">
        <v>2.6200000000000001E-2</v>
      </c>
      <c r="D109" s="297">
        <v>0</v>
      </c>
      <c r="E109" s="297"/>
      <c r="F109" s="297">
        <v>0</v>
      </c>
      <c r="G109" s="104"/>
    </row>
    <row r="110" spans="1:7" x14ac:dyDescent="0.25">
      <c r="A110" s="104" t="s">
        <v>636</v>
      </c>
      <c r="B110" s="145" t="s">
        <v>1348</v>
      </c>
      <c r="C110" s="297">
        <v>1.1140000000000001E-2</v>
      </c>
      <c r="D110" s="297">
        <v>0</v>
      </c>
      <c r="E110" s="297"/>
      <c r="F110" s="297">
        <v>0</v>
      </c>
      <c r="G110" s="104"/>
    </row>
    <row r="111" spans="1:7" x14ac:dyDescent="0.25">
      <c r="A111" s="104" t="s">
        <v>637</v>
      </c>
      <c r="B111" s="145" t="s">
        <v>1349</v>
      </c>
      <c r="C111" s="297">
        <v>2.6259999999999999E-2</v>
      </c>
      <c r="D111" s="297">
        <v>0</v>
      </c>
      <c r="E111" s="297"/>
      <c r="F111" s="297">
        <v>0</v>
      </c>
      <c r="G111" s="104"/>
    </row>
    <row r="112" spans="1:7" x14ac:dyDescent="0.25">
      <c r="A112" s="104" t="s">
        <v>638</v>
      </c>
      <c r="B112" s="145" t="s">
        <v>1350</v>
      </c>
      <c r="C112" s="297">
        <v>0.15046999999999999</v>
      </c>
      <c r="D112" s="297">
        <v>0</v>
      </c>
      <c r="E112" s="297"/>
      <c r="F112" s="297">
        <v>0</v>
      </c>
      <c r="G112" s="104"/>
    </row>
    <row r="113" spans="1:7" x14ac:dyDescent="0.25">
      <c r="A113" s="104" t="s">
        <v>639</v>
      </c>
      <c r="B113" s="145" t="s">
        <v>1351</v>
      </c>
      <c r="C113" s="297">
        <v>1.7219999999999999E-2</v>
      </c>
      <c r="D113" s="297">
        <v>0</v>
      </c>
      <c r="E113" s="297"/>
      <c r="F113" s="297">
        <v>0</v>
      </c>
      <c r="G113" s="104"/>
    </row>
    <row r="114" spans="1:7" x14ac:dyDescent="0.25">
      <c r="A114" s="104" t="s">
        <v>640</v>
      </c>
      <c r="B114" s="145" t="s">
        <v>1352</v>
      </c>
      <c r="C114" s="297">
        <v>3.7749999999999999E-2</v>
      </c>
      <c r="D114" s="297">
        <v>0</v>
      </c>
      <c r="E114" s="297"/>
      <c r="F114" s="297">
        <v>0</v>
      </c>
      <c r="G114" s="104"/>
    </row>
    <row r="115" spans="1:7" x14ac:dyDescent="0.25">
      <c r="A115" s="104" t="s">
        <v>641</v>
      </c>
      <c r="B115" s="145" t="s">
        <v>1353</v>
      </c>
      <c r="C115" s="297">
        <v>0.11717</v>
      </c>
      <c r="D115" s="297">
        <v>0</v>
      </c>
      <c r="E115" s="297"/>
      <c r="F115" s="297">
        <v>0</v>
      </c>
      <c r="G115" s="104"/>
    </row>
    <row r="116" spans="1:7" x14ac:dyDescent="0.25">
      <c r="A116" s="104" t="s">
        <v>642</v>
      </c>
      <c r="B116" s="145" t="s">
        <v>1354</v>
      </c>
      <c r="C116" s="297">
        <v>0.27107999999999999</v>
      </c>
      <c r="D116" s="297">
        <v>0</v>
      </c>
      <c r="E116" s="297"/>
      <c r="F116" s="297">
        <v>0</v>
      </c>
      <c r="G116" s="104"/>
    </row>
    <row r="117" spans="1:7" x14ac:dyDescent="0.25">
      <c r="A117" s="104" t="s">
        <v>643</v>
      </c>
      <c r="B117" s="145" t="s">
        <v>1355</v>
      </c>
      <c r="C117" s="297">
        <v>7.3709999999999998E-2</v>
      </c>
      <c r="D117" s="297">
        <v>0</v>
      </c>
      <c r="E117" s="297"/>
      <c r="F117" s="297">
        <v>0</v>
      </c>
      <c r="G117" s="104"/>
    </row>
    <row r="118" spans="1:7" x14ac:dyDescent="0.25">
      <c r="A118" s="104" t="s">
        <v>644</v>
      </c>
      <c r="B118" s="145" t="s">
        <v>1356</v>
      </c>
      <c r="C118" s="297">
        <v>2.2259999999999999E-2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6.4909999999999995E-2</v>
      </c>
      <c r="D150" s="297">
        <v>0</v>
      </c>
      <c r="E150" s="134"/>
      <c r="F150" s="297">
        <v>6.4909999999999995E-2</v>
      </c>
    </row>
    <row r="151" spans="1:7" x14ac:dyDescent="0.25">
      <c r="A151" s="104" t="s">
        <v>659</v>
      </c>
      <c r="B151" s="104" t="s">
        <v>660</v>
      </c>
      <c r="C151" s="297">
        <v>0.93508999999999998</v>
      </c>
      <c r="D151" s="297">
        <v>0</v>
      </c>
      <c r="E151" s="134"/>
      <c r="F151" s="297">
        <v>0.93508999999999998</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6.4999999999999997E-3</v>
      </c>
      <c r="D160" s="297">
        <v>0</v>
      </c>
      <c r="E160" s="297"/>
      <c r="F160" s="297">
        <v>6.4999999999999997E-3</v>
      </c>
    </row>
    <row r="161" spans="1:7" x14ac:dyDescent="0.25">
      <c r="A161" s="104" t="s">
        <v>671</v>
      </c>
      <c r="B161" s="104" t="s">
        <v>672</v>
      </c>
      <c r="C161" s="297">
        <v>0.99350000000000005</v>
      </c>
      <c r="D161" s="297">
        <v>0</v>
      </c>
      <c r="E161" s="297"/>
      <c r="F161" s="297">
        <v>0.99350000000000005</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0.24481</v>
      </c>
      <c r="D170" s="297">
        <v>0</v>
      </c>
      <c r="E170" s="297"/>
      <c r="F170" s="297">
        <v>0.24481</v>
      </c>
    </row>
    <row r="171" spans="1:7" x14ac:dyDescent="0.25">
      <c r="A171" s="104" t="s">
        <v>683</v>
      </c>
      <c r="B171" s="124" t="s">
        <v>684</v>
      </c>
      <c r="C171" s="297">
        <v>0.23032</v>
      </c>
      <c r="D171" s="297">
        <v>0</v>
      </c>
      <c r="E171" s="297"/>
      <c r="F171" s="297">
        <v>0.23032</v>
      </c>
    </row>
    <row r="172" spans="1:7" x14ac:dyDescent="0.25">
      <c r="A172" s="104" t="s">
        <v>685</v>
      </c>
      <c r="B172" s="124" t="s">
        <v>686</v>
      </c>
      <c r="C172" s="297">
        <v>0.14607000000000001</v>
      </c>
      <c r="D172" s="297">
        <v>0</v>
      </c>
      <c r="E172" s="297"/>
      <c r="F172" s="297">
        <v>0.14607000000000001</v>
      </c>
    </row>
    <row r="173" spans="1:7" x14ac:dyDescent="0.25">
      <c r="A173" s="104" t="s">
        <v>687</v>
      </c>
      <c r="B173" s="124" t="s">
        <v>688</v>
      </c>
      <c r="C173" s="297">
        <v>0.19749</v>
      </c>
      <c r="D173" s="297">
        <v>0</v>
      </c>
      <c r="E173" s="297"/>
      <c r="F173" s="297">
        <v>0.19749</v>
      </c>
    </row>
    <row r="174" spans="1:7" x14ac:dyDescent="0.25">
      <c r="A174" s="104" t="s">
        <v>689</v>
      </c>
      <c r="B174" s="124" t="s">
        <v>690</v>
      </c>
      <c r="C174" s="297">
        <v>0.18131</v>
      </c>
      <c r="D174" s="297">
        <v>0</v>
      </c>
      <c r="E174" s="297"/>
      <c r="F174" s="297">
        <v>0.18131</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60.205885619999997</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99.705598679999994</v>
      </c>
      <c r="D190" s="104">
        <v>8238</v>
      </c>
      <c r="E190" s="129"/>
      <c r="F190" s="116">
        <f>IF($C$214=0,"",IF(C190="[for completion]","",IF(C190="","",C190/$C$214)))</f>
        <v>7.9749459203915685E-2</v>
      </c>
      <c r="G190" s="116">
        <f>IF($D$214=0,"",IF(D190="[for completion]","",IF(D190="","",D190/$D$214)))</f>
        <v>0.39672525884902482</v>
      </c>
    </row>
    <row r="191" spans="1:7" x14ac:dyDescent="0.25">
      <c r="A191" s="104" t="s">
        <v>710</v>
      </c>
      <c r="B191" s="145" t="s">
        <v>1502</v>
      </c>
      <c r="C191" s="146">
        <v>156.03231951000001</v>
      </c>
      <c r="D191" s="104">
        <v>4283</v>
      </c>
      <c r="E191" s="129"/>
      <c r="F191" s="116">
        <f t="shared" ref="F191:F213" si="1">IF($C$214=0,"",IF(C191="[for completion]","",IF(C191="","",C191/$C$214)))</f>
        <v>0.12480235076058102</v>
      </c>
      <c r="G191" s="116">
        <f t="shared" ref="G191:G213" si="2">IF($D$214=0,"",IF(D191="[for completion]","",IF(D191="","",D191/$D$214)))</f>
        <v>0.20626053455333493</v>
      </c>
    </row>
    <row r="192" spans="1:7" x14ac:dyDescent="0.25">
      <c r="A192" s="104" t="s">
        <v>711</v>
      </c>
      <c r="B192" s="145" t="s">
        <v>1503</v>
      </c>
      <c r="C192" s="146">
        <v>323.94595163000002</v>
      </c>
      <c r="D192" s="104">
        <v>4516</v>
      </c>
      <c r="E192" s="129"/>
      <c r="F192" s="116">
        <f t="shared" si="1"/>
        <v>0.25910796179766071</v>
      </c>
      <c r="G192" s="116">
        <f t="shared" si="2"/>
        <v>0.21748133879123524</v>
      </c>
    </row>
    <row r="193" spans="1:7" x14ac:dyDescent="0.25">
      <c r="A193" s="104" t="s">
        <v>712</v>
      </c>
      <c r="B193" s="145" t="s">
        <v>1504</v>
      </c>
      <c r="C193" s="146">
        <v>252.25052022</v>
      </c>
      <c r="D193" s="104">
        <v>2075</v>
      </c>
      <c r="E193" s="129"/>
      <c r="F193" s="116">
        <f t="shared" si="1"/>
        <v>0.20176241693322933</v>
      </c>
      <c r="G193" s="116">
        <f t="shared" si="2"/>
        <v>9.9927763062846134E-2</v>
      </c>
    </row>
    <row r="194" spans="1:7" x14ac:dyDescent="0.25">
      <c r="A194" s="104" t="s">
        <v>713</v>
      </c>
      <c r="B194" s="145" t="s">
        <v>1505</v>
      </c>
      <c r="C194" s="146">
        <v>148.06635388999999</v>
      </c>
      <c r="D194" s="104">
        <v>863</v>
      </c>
      <c r="E194" s="129"/>
      <c r="F194" s="116">
        <f t="shared" si="1"/>
        <v>0.11843077826472861</v>
      </c>
      <c r="G194" s="116">
        <f t="shared" si="2"/>
        <v>4.1560317842523474E-2</v>
      </c>
    </row>
    <row r="195" spans="1:7" x14ac:dyDescent="0.25">
      <c r="A195" s="104" t="s">
        <v>714</v>
      </c>
      <c r="B195" s="145" t="s">
        <v>1506</v>
      </c>
      <c r="C195" s="146">
        <v>86.238234689999999</v>
      </c>
      <c r="D195" s="104">
        <v>388</v>
      </c>
      <c r="E195" s="129"/>
      <c r="F195" s="116">
        <f t="shared" si="1"/>
        <v>6.8977596747607853E-2</v>
      </c>
      <c r="G195" s="116">
        <f t="shared" si="2"/>
        <v>1.8685287743799663E-2</v>
      </c>
    </row>
    <row r="196" spans="1:7" x14ac:dyDescent="0.25">
      <c r="A196" s="104" t="s">
        <v>715</v>
      </c>
      <c r="B196" s="145" t="s">
        <v>1507</v>
      </c>
      <c r="C196" s="146">
        <v>43.282398280000002</v>
      </c>
      <c r="D196" s="104">
        <v>158</v>
      </c>
      <c r="E196" s="129"/>
      <c r="F196" s="116">
        <f t="shared" si="1"/>
        <v>3.4619398525018621E-2</v>
      </c>
      <c r="G196" s="116">
        <f t="shared" si="2"/>
        <v>7.6089573802070789E-3</v>
      </c>
    </row>
    <row r="197" spans="1:7" x14ac:dyDescent="0.25">
      <c r="A197" s="104" t="s">
        <v>716</v>
      </c>
      <c r="B197" s="145" t="s">
        <v>1508</v>
      </c>
      <c r="C197" s="146">
        <v>140.71404382</v>
      </c>
      <c r="D197" s="104">
        <v>244</v>
      </c>
      <c r="E197" s="129"/>
      <c r="F197" s="116">
        <f t="shared" si="1"/>
        <v>0.11255003776725826</v>
      </c>
      <c r="G197" s="116">
        <f t="shared" si="2"/>
        <v>1.1750541777028655E-2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1250.2354207199999</v>
      </c>
      <c r="D214" s="145">
        <f>SUM(D190:D213)</f>
        <v>20765</v>
      </c>
      <c r="E214" s="118"/>
      <c r="F214" s="365">
        <f>SUM(F190:F213)</f>
        <v>1.0000000000000002</v>
      </c>
      <c r="G214" s="365">
        <f>SUM(G190:G213)</f>
        <v>0.99999999999999978</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0.63907999999999998</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188.78567809</v>
      </c>
      <c r="D219" s="104">
        <v>5868</v>
      </c>
      <c r="F219" s="116">
        <f t="shared" ref="F219:F233" si="3">IF($C$227=0,"",IF(C219="[for completion]","",C219/$C$227))</f>
        <v>0.1510001036295068</v>
      </c>
      <c r="G219" s="116">
        <f t="shared" ref="G219:G233" si="4">IF($D$227=0,"",IF(D219="[for completion]","",D219/$D$227))</f>
        <v>0.28257728980063568</v>
      </c>
    </row>
    <row r="220" spans="1:7" x14ac:dyDescent="0.25">
      <c r="A220" s="104" t="s">
        <v>740</v>
      </c>
      <c r="B220" s="104" t="s">
        <v>741</v>
      </c>
      <c r="C220" s="146">
        <v>127.11571296</v>
      </c>
      <c r="D220" s="104">
        <v>2230</v>
      </c>
      <c r="F220" s="116">
        <f t="shared" si="3"/>
        <v>0.10167342154391622</v>
      </c>
      <c r="G220" s="116">
        <f t="shared" si="4"/>
        <v>0.1073870750264856</v>
      </c>
    </row>
    <row r="221" spans="1:7" x14ac:dyDescent="0.25">
      <c r="A221" s="104" t="s">
        <v>742</v>
      </c>
      <c r="B221" s="104" t="s">
        <v>743</v>
      </c>
      <c r="C221" s="146">
        <v>185.14087140999999</v>
      </c>
      <c r="D221" s="104">
        <v>2781</v>
      </c>
      <c r="F221" s="116">
        <f t="shared" si="3"/>
        <v>0.14808480734242752</v>
      </c>
      <c r="G221" s="116">
        <f t="shared" si="4"/>
        <v>0.13392083212944236</v>
      </c>
    </row>
    <row r="222" spans="1:7" x14ac:dyDescent="0.25">
      <c r="A222" s="104" t="s">
        <v>744</v>
      </c>
      <c r="B222" s="104" t="s">
        <v>745</v>
      </c>
      <c r="C222" s="146">
        <v>245.83472280999999</v>
      </c>
      <c r="D222" s="104">
        <v>3410</v>
      </c>
      <c r="F222" s="116">
        <f t="shared" si="3"/>
        <v>0.19663074548665874</v>
      </c>
      <c r="G222" s="116">
        <f t="shared" si="4"/>
        <v>0.16421072907637485</v>
      </c>
    </row>
    <row r="223" spans="1:7" x14ac:dyDescent="0.25">
      <c r="A223" s="104" t="s">
        <v>746</v>
      </c>
      <c r="B223" s="104" t="s">
        <v>747</v>
      </c>
      <c r="C223" s="146">
        <v>190.15277075</v>
      </c>
      <c r="D223" s="104">
        <v>2904</v>
      </c>
      <c r="F223" s="116">
        <f t="shared" si="3"/>
        <v>0.15209357181745231</v>
      </c>
      <c r="G223" s="116">
        <f t="shared" si="4"/>
        <v>0.13984397572955792</v>
      </c>
    </row>
    <row r="224" spans="1:7" x14ac:dyDescent="0.25">
      <c r="A224" s="104" t="s">
        <v>748</v>
      </c>
      <c r="B224" s="104" t="s">
        <v>749</v>
      </c>
      <c r="C224" s="146">
        <v>161.75508764</v>
      </c>
      <c r="D224" s="104">
        <v>1970</v>
      </c>
      <c r="F224" s="116">
        <f t="shared" si="3"/>
        <v>0.12937970318169886</v>
      </c>
      <c r="G224" s="116">
        <f t="shared" si="4"/>
        <v>9.4866608879899839E-2</v>
      </c>
    </row>
    <row r="225" spans="1:7" x14ac:dyDescent="0.25">
      <c r="A225" s="104" t="s">
        <v>750</v>
      </c>
      <c r="B225" s="104" t="s">
        <v>751</v>
      </c>
      <c r="C225" s="146">
        <v>149.47642389000001</v>
      </c>
      <c r="D225" s="104">
        <v>1558</v>
      </c>
      <c r="F225" s="116">
        <f t="shared" si="3"/>
        <v>0.11955862185052941</v>
      </c>
      <c r="G225" s="116">
        <f t="shared" si="4"/>
        <v>7.5026485601463938E-2</v>
      </c>
    </row>
    <row r="226" spans="1:7" x14ac:dyDescent="0.25">
      <c r="A226" s="104" t="s">
        <v>752</v>
      </c>
      <c r="B226" s="104" t="s">
        <v>753</v>
      </c>
      <c r="C226" s="146">
        <v>1.9741531699999999</v>
      </c>
      <c r="D226" s="104">
        <v>45</v>
      </c>
      <c r="F226" s="116">
        <f t="shared" si="3"/>
        <v>1.5790251478102436E-3</v>
      </c>
      <c r="G226" s="116">
        <f t="shared" si="4"/>
        <v>2.1670037561398441E-3</v>
      </c>
    </row>
    <row r="227" spans="1:7" x14ac:dyDescent="0.25">
      <c r="A227" s="104" t="s">
        <v>754</v>
      </c>
      <c r="B227" s="131" t="s">
        <v>103</v>
      </c>
      <c r="C227" s="146">
        <f>SUM(C219:C226)</f>
        <v>1250.2354207199999</v>
      </c>
      <c r="D227" s="104">
        <f>SUM(D219:D226)</f>
        <v>20766</v>
      </c>
      <c r="F227" s="297">
        <f>SUM(F219:F226)</f>
        <v>1.0000000000000002</v>
      </c>
      <c r="G227" s="297">
        <f>SUM(G219:G226)</f>
        <v>1</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0.65344999999999998</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181.03922835</v>
      </c>
      <c r="D241" s="104">
        <v>5670</v>
      </c>
      <c r="F241" s="116">
        <f>IF($C$249=0,"",IF(C241="[Mark as ND1 if not relevant]","",C241/$C$249))</f>
        <v>0.14480411076958694</v>
      </c>
      <c r="G241" s="116">
        <f>IF($D$249=0,"",IF(D241="[Mark as ND1 if not relevant]","",D241/$D$249))</f>
        <v>0.27304247327362036</v>
      </c>
    </row>
    <row r="242" spans="1:7" x14ac:dyDescent="0.25">
      <c r="A242" s="104" t="s">
        <v>773</v>
      </c>
      <c r="B242" s="104" t="s">
        <v>741</v>
      </c>
      <c r="C242" s="146">
        <v>121.74681295000001</v>
      </c>
      <c r="D242" s="104">
        <v>2148</v>
      </c>
      <c r="F242" s="116">
        <f t="shared" ref="F242:F248" si="5">IF($C$249=0,"",IF(C242="[Mark as ND1 if not relevant]","",C242/$C$249))</f>
        <v>9.7379110311789946E-2</v>
      </c>
      <c r="G242" s="116">
        <f t="shared" ref="G242:G248" si="6">IF($D$249=0,"",IF(D242="[Mark as ND1 if not relevant]","",D242/$D$249))</f>
        <v>0.10343831262640855</v>
      </c>
    </row>
    <row r="243" spans="1:7" x14ac:dyDescent="0.25">
      <c r="A243" s="104" t="s">
        <v>774</v>
      </c>
      <c r="B243" s="104" t="s">
        <v>743</v>
      </c>
      <c r="C243" s="146">
        <v>173.58297289000001</v>
      </c>
      <c r="D243" s="104">
        <v>2636</v>
      </c>
      <c r="F243" s="116">
        <f t="shared" si="5"/>
        <v>0.13884022961854259</v>
      </c>
      <c r="G243" s="116">
        <f t="shared" si="6"/>
        <v>0.12693826447076953</v>
      </c>
    </row>
    <row r="244" spans="1:7" x14ac:dyDescent="0.25">
      <c r="A244" s="104" t="s">
        <v>775</v>
      </c>
      <c r="B244" s="104" t="s">
        <v>745</v>
      </c>
      <c r="C244" s="146">
        <v>236.41916968999999</v>
      </c>
      <c r="D244" s="104">
        <v>3238</v>
      </c>
      <c r="F244" s="116">
        <f t="shared" si="5"/>
        <v>0.18909972135795686</v>
      </c>
      <c r="G244" s="116">
        <f t="shared" si="6"/>
        <v>0.15592795916401811</v>
      </c>
    </row>
    <row r="245" spans="1:7" x14ac:dyDescent="0.25">
      <c r="A245" s="104" t="s">
        <v>776</v>
      </c>
      <c r="B245" s="104" t="s">
        <v>747</v>
      </c>
      <c r="C245" s="146">
        <v>196.37550662999999</v>
      </c>
      <c r="D245" s="104">
        <v>3032</v>
      </c>
      <c r="F245" s="116">
        <f t="shared" si="5"/>
        <v>0.15707082312298348</v>
      </c>
      <c r="G245" s="116">
        <f t="shared" si="6"/>
        <v>0.14600789752480015</v>
      </c>
    </row>
    <row r="246" spans="1:7" x14ac:dyDescent="0.25">
      <c r="A246" s="104" t="s">
        <v>777</v>
      </c>
      <c r="B246" s="104" t="s">
        <v>749</v>
      </c>
      <c r="C246" s="146">
        <v>157.58106778999999</v>
      </c>
      <c r="D246" s="104">
        <v>2008</v>
      </c>
      <c r="F246" s="116">
        <f t="shared" si="5"/>
        <v>0.12604111607976232</v>
      </c>
      <c r="G246" s="116">
        <f t="shared" si="6"/>
        <v>9.6696523162862369E-2</v>
      </c>
    </row>
    <row r="247" spans="1:7" x14ac:dyDescent="0.25">
      <c r="A247" s="104" t="s">
        <v>778</v>
      </c>
      <c r="B247" s="104" t="s">
        <v>751</v>
      </c>
      <c r="C247" s="146">
        <v>140.35400315000001</v>
      </c>
      <c r="D247" s="104">
        <v>1517</v>
      </c>
      <c r="F247" s="116">
        <f t="shared" si="5"/>
        <v>0.11226205946810507</v>
      </c>
      <c r="G247" s="116">
        <f t="shared" si="6"/>
        <v>7.3052104401425413E-2</v>
      </c>
    </row>
    <row r="248" spans="1:7" x14ac:dyDescent="0.25">
      <c r="A248" s="104" t="s">
        <v>779</v>
      </c>
      <c r="B248" s="104" t="s">
        <v>753</v>
      </c>
      <c r="C248" s="146">
        <v>43.136659270000003</v>
      </c>
      <c r="D248" s="104">
        <v>517</v>
      </c>
      <c r="F248" s="116">
        <f t="shared" si="5"/>
        <v>3.4502829271272732E-2</v>
      </c>
      <c r="G248" s="116">
        <f t="shared" si="6"/>
        <v>2.489646537609554E-2</v>
      </c>
    </row>
    <row r="249" spans="1:7" x14ac:dyDescent="0.25">
      <c r="A249" s="104" t="s">
        <v>780</v>
      </c>
      <c r="B249" s="131" t="s">
        <v>103</v>
      </c>
      <c r="C249" s="146">
        <f>SUM(C241:C248)</f>
        <v>1250.2354207200001</v>
      </c>
      <c r="D249" s="104">
        <f>SUM(D241:D248)</f>
        <v>20766</v>
      </c>
      <c r="F249" s="297">
        <f>SUM(F241:F248)</f>
        <v>0.99999999999999989</v>
      </c>
      <c r="G249" s="297">
        <f>SUM(G241:G248)</f>
        <v>1</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0.93257999999999996</v>
      </c>
      <c r="D260" s="358"/>
      <c r="E260" s="297"/>
      <c r="F260" s="297"/>
      <c r="G260" s="297"/>
    </row>
    <row r="261" spans="1:14" x14ac:dyDescent="0.25">
      <c r="A261" s="104" t="s">
        <v>793</v>
      </c>
      <c r="B261" s="104" t="s">
        <v>794</v>
      </c>
      <c r="C261" s="297">
        <v>5.4609999999999999E-2</v>
      </c>
      <c r="D261" s="358"/>
      <c r="E261" s="297"/>
      <c r="F261" s="297"/>
      <c r="G261" s="362"/>
    </row>
    <row r="262" spans="1:14" x14ac:dyDescent="0.25">
      <c r="A262" s="104" t="s">
        <v>795</v>
      </c>
      <c r="B262" s="104" t="s">
        <v>796</v>
      </c>
      <c r="C262" s="297">
        <v>9.4400000000000005E-3</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v>3.3700000000000002E-3</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43921</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c r="C21" s="303"/>
      <c r="D21" s="266"/>
      <c r="E21" s="265"/>
      <c r="F21" s="265"/>
      <c r="G21" s="264"/>
      <c r="H21" s="298"/>
      <c r="I21" s="151"/>
      <c r="J21" s="151"/>
      <c r="K21" s="151"/>
      <c r="L21" s="151"/>
      <c r="M21" s="151"/>
      <c r="N21" s="151"/>
      <c r="O21" s="151"/>
      <c r="P21" s="151"/>
    </row>
    <row r="22" spans="1:16" x14ac:dyDescent="0.25">
      <c r="A22" s="151"/>
      <c r="B22" s="300"/>
      <c r="C22" s="303"/>
      <c r="D22" s="266"/>
      <c r="E22" s="265"/>
      <c r="F22" s="265"/>
      <c r="G22" s="264"/>
      <c r="H22" s="298"/>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650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2019</v>
      </c>
      <c r="D32" s="256">
        <f>YEAR(C8)</f>
        <v>2020</v>
      </c>
      <c r="E32" s="256">
        <f>YEAR(C8)+1</f>
        <v>2021</v>
      </c>
      <c r="F32" s="256">
        <f>YEAR(C8)+2</f>
        <v>2022</v>
      </c>
      <c r="G32" s="256">
        <f>YEAR(C8)+3</f>
        <v>2023</v>
      </c>
      <c r="H32" s="256">
        <f>YEAR(C8)+4</f>
        <v>2024</v>
      </c>
      <c r="I32" s="256">
        <f>YEAR(C8)+5</f>
        <v>2025</v>
      </c>
      <c r="J32" s="256">
        <f>YEAR(C8)+6</f>
        <v>2026</v>
      </c>
      <c r="K32" s="256">
        <f>YEAR(C8)+7</f>
        <v>2027</v>
      </c>
      <c r="L32" s="256">
        <f>YEAR(C8)+8</f>
        <v>2028</v>
      </c>
      <c r="M32" s="255" t="str">
        <f>YEAR(C8)+9 &amp; " -"</f>
        <v>2029 -</v>
      </c>
      <c r="N32" s="254" t="s">
        <v>1377</v>
      </c>
      <c r="O32" s="151"/>
      <c r="P32" s="151"/>
    </row>
    <row r="33" spans="1:16" ht="15.75" thickBot="1" x14ac:dyDescent="0.3">
      <c r="A33" s="151"/>
      <c r="B33" s="253" t="s">
        <v>103</v>
      </c>
      <c r="C33" s="304"/>
      <c r="D33" s="304"/>
      <c r="E33" s="308"/>
      <c r="F33" s="308">
        <v>350</v>
      </c>
      <c r="G33" s="308"/>
      <c r="H33" s="308">
        <v>300</v>
      </c>
      <c r="I33" s="308"/>
      <c r="J33" s="308"/>
      <c r="K33" s="308"/>
      <c r="L33" s="308"/>
      <c r="M33" s="309"/>
      <c r="N33" s="310">
        <f>+SUM(C33:M33)</f>
        <v>650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1250.2349999999999</v>
      </c>
      <c r="D38" s="314">
        <v>1</v>
      </c>
      <c r="E38" s="151"/>
      <c r="F38" s="284" t="s">
        <v>1457</v>
      </c>
      <c r="G38" s="178"/>
      <c r="H38" s="160"/>
      <c r="I38" s="379">
        <v>20766</v>
      </c>
      <c r="J38" s="152"/>
      <c r="K38" s="152"/>
      <c r="L38" s="152"/>
      <c r="M38" s="152"/>
      <c r="N38" s="152"/>
      <c r="O38" s="152"/>
      <c r="P38" s="152"/>
    </row>
    <row r="39" spans="1:16" x14ac:dyDescent="0.25">
      <c r="A39" s="152"/>
      <c r="B39" s="284" t="s">
        <v>1456</v>
      </c>
      <c r="C39" s="311">
        <v>0</v>
      </c>
      <c r="D39" s="314">
        <v>0</v>
      </c>
      <c r="E39" s="151"/>
      <c r="F39" s="284" t="s">
        <v>1455</v>
      </c>
      <c r="G39" s="178"/>
      <c r="H39" s="160"/>
      <c r="I39" s="379">
        <v>18225</v>
      </c>
      <c r="J39" s="152"/>
      <c r="K39" s="152"/>
      <c r="L39" s="152"/>
      <c r="M39" s="152"/>
      <c r="N39" s="152"/>
      <c r="O39" s="152"/>
      <c r="P39" s="152"/>
    </row>
    <row r="40" spans="1:16" x14ac:dyDescent="0.25">
      <c r="A40" s="152"/>
      <c r="B40" s="202" t="s">
        <v>101</v>
      </c>
      <c r="C40" s="312">
        <v>0</v>
      </c>
      <c r="D40" s="315">
        <v>0</v>
      </c>
      <c r="E40" s="151"/>
      <c r="F40" s="284" t="s">
        <v>1454</v>
      </c>
      <c r="G40" s="178"/>
      <c r="H40" s="160"/>
      <c r="I40" s="379">
        <v>16785</v>
      </c>
      <c r="J40" s="152"/>
      <c r="K40" s="152"/>
      <c r="L40" s="152"/>
      <c r="M40" s="152"/>
      <c r="N40" s="152"/>
      <c r="O40" s="152"/>
      <c r="P40" s="152"/>
    </row>
    <row r="41" spans="1:16" ht="15.75" thickBot="1" x14ac:dyDescent="0.3">
      <c r="A41" s="152"/>
      <c r="B41" s="223" t="s">
        <v>1453</v>
      </c>
      <c r="C41" s="311">
        <v>1170.5619999999999</v>
      </c>
      <c r="D41" s="314">
        <v>0.93627000000000005</v>
      </c>
      <c r="E41" s="151"/>
      <c r="F41" s="285" t="s">
        <v>1452</v>
      </c>
      <c r="G41" s="177"/>
      <c r="H41" s="158"/>
      <c r="I41" s="380">
        <v>60205</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1250.2349999999999</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769.16976999999997</v>
      </c>
      <c r="I50" s="322">
        <v>0.61521999999999999</v>
      </c>
      <c r="J50" s="152"/>
      <c r="K50" s="234"/>
      <c r="L50" s="234"/>
      <c r="M50" s="239"/>
      <c r="N50" s="230"/>
      <c r="O50" s="229"/>
      <c r="P50" s="228"/>
    </row>
    <row r="51" spans="1:16" x14ac:dyDescent="0.25">
      <c r="A51" s="152"/>
      <c r="B51" s="232" t="s">
        <v>1338</v>
      </c>
      <c r="C51" s="311">
        <v>42.791620000000002</v>
      </c>
      <c r="D51" s="320">
        <v>3.4229999999999997E-2</v>
      </c>
      <c r="E51" s="152"/>
      <c r="F51" s="238" t="s">
        <v>1443</v>
      </c>
      <c r="G51" s="160"/>
      <c r="H51" s="311">
        <v>393.89332999999999</v>
      </c>
      <c r="I51" s="322">
        <v>0.31506000000000001</v>
      </c>
      <c r="J51" s="152"/>
      <c r="K51" s="234"/>
      <c r="L51" s="234"/>
      <c r="M51" s="239"/>
      <c r="N51" s="230"/>
      <c r="O51" s="229"/>
      <c r="P51" s="228"/>
    </row>
    <row r="52" spans="1:16" x14ac:dyDescent="0.25">
      <c r="A52" s="152"/>
      <c r="B52" s="232" t="s">
        <v>1339</v>
      </c>
      <c r="C52" s="311">
        <v>3.2073200000000002</v>
      </c>
      <c r="D52" s="320">
        <v>2.5699999999999998E-3</v>
      </c>
      <c r="E52" s="152"/>
      <c r="F52" s="238" t="s">
        <v>1442</v>
      </c>
      <c r="G52" s="160"/>
      <c r="H52" s="311">
        <v>82.05932</v>
      </c>
      <c r="I52" s="322">
        <v>6.5640000000000004E-2</v>
      </c>
      <c r="J52" s="152"/>
      <c r="K52" s="234"/>
      <c r="L52" s="234"/>
      <c r="M52" s="239"/>
      <c r="N52" s="230"/>
      <c r="O52" s="229"/>
      <c r="P52" s="228"/>
    </row>
    <row r="53" spans="1:16" x14ac:dyDescent="0.25">
      <c r="A53" s="152"/>
      <c r="B53" s="232" t="s">
        <v>1340</v>
      </c>
      <c r="C53" s="311">
        <v>50.830379999999998</v>
      </c>
      <c r="D53" s="320">
        <v>4.0660000000000002E-2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5.1130100000000001</v>
      </c>
      <c r="I54" s="322">
        <v>4.0899999999999999E-3</v>
      </c>
      <c r="J54" s="152"/>
      <c r="K54" s="234"/>
      <c r="L54" s="234"/>
      <c r="M54" s="231"/>
      <c r="N54" s="230"/>
      <c r="O54" s="229"/>
      <c r="P54" s="228"/>
    </row>
    <row r="55" spans="1:16" x14ac:dyDescent="0.25">
      <c r="A55" s="152"/>
      <c r="B55" s="232" t="s">
        <v>1342</v>
      </c>
      <c r="C55" s="311">
        <v>1.5375799999999999</v>
      </c>
      <c r="D55" s="320">
        <v>1.23E-3</v>
      </c>
      <c r="E55" s="152"/>
      <c r="F55" s="238" t="s">
        <v>1440</v>
      </c>
      <c r="G55" s="160"/>
      <c r="H55" s="311">
        <v>0</v>
      </c>
      <c r="I55" s="322" t="s">
        <v>1398</v>
      </c>
      <c r="J55" s="152"/>
      <c r="K55" s="234"/>
      <c r="L55" s="234"/>
      <c r="M55" s="231"/>
      <c r="N55" s="230"/>
      <c r="O55" s="229"/>
      <c r="P55" s="228"/>
    </row>
    <row r="56" spans="1:16" x14ac:dyDescent="0.25">
      <c r="A56" s="152"/>
      <c r="B56" s="232" t="s">
        <v>1343</v>
      </c>
      <c r="C56" s="311">
        <v>67.365409999999997</v>
      </c>
      <c r="D56" s="320">
        <v>5.3879999999999997E-2</v>
      </c>
      <c r="E56" s="152"/>
      <c r="F56" s="237"/>
      <c r="G56" s="220"/>
      <c r="H56" s="312"/>
      <c r="I56" s="315"/>
      <c r="J56" s="152"/>
      <c r="K56" s="234"/>
      <c r="L56" s="235"/>
      <c r="M56" s="218"/>
      <c r="N56" s="230"/>
      <c r="O56" s="229"/>
      <c r="P56" s="228"/>
    </row>
    <row r="57" spans="1:16" ht="15.75" thickBot="1" x14ac:dyDescent="0.3">
      <c r="A57" s="152"/>
      <c r="B57" s="232" t="s">
        <v>1344</v>
      </c>
      <c r="C57" s="311">
        <v>94.859870000000001</v>
      </c>
      <c r="D57" s="320">
        <v>7.5870000000000007E-2</v>
      </c>
      <c r="E57" s="152"/>
      <c r="F57" s="236" t="s">
        <v>1377</v>
      </c>
      <c r="G57" s="158"/>
      <c r="H57" s="313">
        <f>SUM(H50:H55)</f>
        <v>1250.23543</v>
      </c>
      <c r="I57" s="323">
        <f>SUM(I50:I55)</f>
        <v>1.0000100000000001</v>
      </c>
      <c r="J57" s="152"/>
      <c r="K57" s="234"/>
      <c r="L57" s="235"/>
      <c r="M57" s="218"/>
      <c r="N57" s="230"/>
      <c r="O57" s="229"/>
      <c r="P57" s="228"/>
    </row>
    <row r="58" spans="1:16" x14ac:dyDescent="0.25">
      <c r="A58" s="152"/>
      <c r="B58" s="232" t="s">
        <v>1345</v>
      </c>
      <c r="C58" s="311">
        <v>12.38138</v>
      </c>
      <c r="D58" s="320">
        <v>9.9000000000000008E-3</v>
      </c>
      <c r="E58" s="152"/>
      <c r="F58" s="152"/>
      <c r="G58" s="152"/>
      <c r="H58" s="152"/>
      <c r="I58" s="152"/>
      <c r="J58" s="152"/>
      <c r="K58" s="234"/>
      <c r="L58" s="234"/>
      <c r="M58" s="218"/>
      <c r="N58" s="230"/>
      <c r="O58" s="229"/>
      <c r="P58" s="228"/>
    </row>
    <row r="59" spans="1:16" x14ac:dyDescent="0.25">
      <c r="A59" s="152"/>
      <c r="B59" s="232" t="s">
        <v>1346</v>
      </c>
      <c r="C59" s="311">
        <v>35.52664</v>
      </c>
      <c r="D59" s="320">
        <v>2.8420000000000001E-2</v>
      </c>
      <c r="E59" s="175"/>
      <c r="F59" s="175"/>
      <c r="G59" s="218"/>
      <c r="H59" s="225"/>
      <c r="I59" s="152"/>
      <c r="J59" s="152"/>
      <c r="K59" s="175"/>
      <c r="L59" s="175"/>
      <c r="M59" s="218"/>
      <c r="N59" s="230"/>
      <c r="O59" s="229"/>
      <c r="P59" s="228"/>
    </row>
    <row r="60" spans="1:16" x14ac:dyDescent="0.25">
      <c r="A60" s="152"/>
      <c r="B60" s="232" t="s">
        <v>1347</v>
      </c>
      <c r="C60" s="311">
        <v>32.755650000000003</v>
      </c>
      <c r="D60" s="320">
        <v>2.6200000000000001E-2</v>
      </c>
      <c r="E60" s="175"/>
      <c r="F60" s="175"/>
      <c r="G60" s="218"/>
      <c r="H60" s="225"/>
      <c r="I60" s="152"/>
      <c r="J60" s="152"/>
      <c r="K60" s="175"/>
      <c r="L60" s="175"/>
      <c r="M60" s="218"/>
      <c r="N60" s="230"/>
      <c r="O60" s="229"/>
      <c r="P60" s="228"/>
    </row>
    <row r="61" spans="1:16" x14ac:dyDescent="0.25">
      <c r="A61" s="152"/>
      <c r="B61" s="232" t="s">
        <v>1348</v>
      </c>
      <c r="C61" s="311">
        <v>13.922800000000001</v>
      </c>
      <c r="D61" s="320">
        <v>1.1140000000000001E-2</v>
      </c>
      <c r="E61" s="175"/>
      <c r="F61" s="175"/>
      <c r="G61" s="218"/>
      <c r="H61" s="225"/>
      <c r="I61" s="152"/>
      <c r="J61" s="152"/>
      <c r="K61" s="175"/>
      <c r="L61" s="175"/>
      <c r="M61" s="218"/>
      <c r="N61" s="230"/>
      <c r="O61" s="229"/>
      <c r="P61" s="228"/>
    </row>
    <row r="62" spans="1:16" x14ac:dyDescent="0.25">
      <c r="A62" s="152"/>
      <c r="B62" s="232" t="s">
        <v>1349</v>
      </c>
      <c r="C62" s="311">
        <v>32.834389999999999</v>
      </c>
      <c r="D62" s="320">
        <v>2.6259999999999999E-2</v>
      </c>
      <c r="E62" s="175"/>
      <c r="F62" s="175"/>
      <c r="G62" s="218"/>
      <c r="H62" s="233"/>
      <c r="I62" s="152"/>
      <c r="J62" s="152"/>
      <c r="K62" s="175"/>
      <c r="L62" s="175"/>
      <c r="M62" s="231"/>
      <c r="N62" s="230"/>
      <c r="O62" s="229"/>
      <c r="P62" s="228"/>
    </row>
    <row r="63" spans="1:16" x14ac:dyDescent="0.25">
      <c r="A63" s="152"/>
      <c r="B63" s="232" t="s">
        <v>1350</v>
      </c>
      <c r="C63" s="311">
        <v>188.11904999999999</v>
      </c>
      <c r="D63" s="320">
        <v>0.15046999999999999</v>
      </c>
      <c r="E63" s="175"/>
      <c r="F63" s="175"/>
      <c r="G63" s="218"/>
      <c r="H63" s="225"/>
      <c r="I63" s="152"/>
      <c r="J63" s="152"/>
      <c r="K63" s="175"/>
      <c r="L63" s="175"/>
      <c r="M63" s="231"/>
      <c r="N63" s="230"/>
      <c r="O63" s="229"/>
      <c r="P63" s="228"/>
    </row>
    <row r="64" spans="1:16" x14ac:dyDescent="0.25">
      <c r="A64" s="152"/>
      <c r="B64" s="232" t="s">
        <v>1351</v>
      </c>
      <c r="C64" s="311">
        <v>21.52636</v>
      </c>
      <c r="D64" s="320">
        <v>1.7219999999999999E-2</v>
      </c>
      <c r="E64" s="175"/>
      <c r="F64" s="175"/>
      <c r="G64" s="218"/>
      <c r="H64" s="226"/>
      <c r="I64" s="190"/>
      <c r="J64" s="152"/>
      <c r="K64" s="175"/>
      <c r="L64" s="218"/>
      <c r="M64" s="231"/>
      <c r="N64" s="230"/>
      <c r="O64" s="229"/>
      <c r="P64" s="228"/>
    </row>
    <row r="65" spans="1:16" x14ac:dyDescent="0.25">
      <c r="A65" s="152"/>
      <c r="B65" s="232" t="s">
        <v>1352</v>
      </c>
      <c r="C65" s="311">
        <v>47.195149999999998</v>
      </c>
      <c r="D65" s="320">
        <v>3.7749999999999999E-2</v>
      </c>
      <c r="E65" s="175"/>
      <c r="F65" s="218"/>
      <c r="G65" s="218"/>
      <c r="H65" s="226"/>
      <c r="I65" s="190"/>
      <c r="J65" s="152"/>
      <c r="K65" s="175"/>
      <c r="L65" s="175"/>
      <c r="M65" s="231"/>
      <c r="N65" s="230"/>
      <c r="O65" s="229"/>
      <c r="P65" s="228"/>
    </row>
    <row r="66" spans="1:16" x14ac:dyDescent="0.25">
      <c r="A66" s="152"/>
      <c r="B66" s="232" t="s">
        <v>1353</v>
      </c>
      <c r="C66" s="311">
        <v>146.48618999999999</v>
      </c>
      <c r="D66" s="320">
        <v>0.11717</v>
      </c>
      <c r="E66" s="175"/>
      <c r="F66" s="175"/>
      <c r="G66" s="218"/>
      <c r="H66" s="226"/>
      <c r="I66" s="190"/>
      <c r="J66" s="152"/>
      <c r="K66" s="175"/>
      <c r="L66" s="218"/>
      <c r="M66" s="231"/>
      <c r="N66" s="230"/>
      <c r="O66" s="229"/>
      <c r="P66" s="228"/>
    </row>
    <row r="67" spans="1:16" x14ac:dyDescent="0.25">
      <c r="A67" s="152"/>
      <c r="B67" s="232" t="s">
        <v>1354</v>
      </c>
      <c r="C67" s="311">
        <v>338.91374999999999</v>
      </c>
      <c r="D67" s="320">
        <v>0.27107999999999999</v>
      </c>
      <c r="E67" s="175"/>
      <c r="F67" s="175"/>
      <c r="G67" s="218"/>
      <c r="H67" s="225"/>
      <c r="I67" s="152"/>
      <c r="J67" s="152"/>
      <c r="K67" s="175"/>
      <c r="L67" s="218"/>
      <c r="M67" s="231"/>
      <c r="N67" s="230"/>
      <c r="O67" s="229"/>
      <c r="P67" s="228"/>
    </row>
    <row r="68" spans="1:16" x14ac:dyDescent="0.25">
      <c r="A68" s="152"/>
      <c r="B68" s="232" t="s">
        <v>1355</v>
      </c>
      <c r="C68" s="311">
        <v>92.153999999999996</v>
      </c>
      <c r="D68" s="320">
        <v>7.3709999999999998E-2</v>
      </c>
      <c r="E68" s="175"/>
      <c r="F68" s="175"/>
      <c r="G68" s="218"/>
      <c r="H68" s="226"/>
      <c r="I68" s="152"/>
      <c r="J68" s="152"/>
      <c r="K68" s="175"/>
      <c r="L68" s="175"/>
      <c r="M68" s="231"/>
      <c r="N68" s="230"/>
      <c r="O68" s="229"/>
      <c r="P68" s="228"/>
    </row>
    <row r="69" spans="1:16" ht="15.75" thickBot="1" x14ac:dyDescent="0.3">
      <c r="A69" s="152"/>
      <c r="B69" s="227" t="s">
        <v>1356</v>
      </c>
      <c r="C69" s="313">
        <v>27.827870000000001</v>
      </c>
      <c r="D69" s="321">
        <v>2.2259999999999999E-2</v>
      </c>
      <c r="E69" s="175"/>
      <c r="F69" s="175"/>
      <c r="G69" s="218"/>
      <c r="H69" s="226"/>
      <c r="I69" s="152"/>
      <c r="J69" s="152"/>
      <c r="K69" s="175"/>
      <c r="L69" s="175"/>
      <c r="M69" s="175"/>
      <c r="N69" s="175"/>
      <c r="O69" s="175"/>
      <c r="P69" s="175"/>
    </row>
    <row r="70" spans="1:16" ht="15.75" thickBot="1" x14ac:dyDescent="0.3">
      <c r="A70" s="152"/>
      <c r="B70" s="199" t="s">
        <v>1377</v>
      </c>
      <c r="C70" s="313">
        <f>SUM(C50:C69)</f>
        <v>1250.23541</v>
      </c>
      <c r="D70" s="316">
        <f>SUM(D50:D69)</f>
        <v>1.0000199999999999</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1169.0764799999999</v>
      </c>
      <c r="D73" s="324">
        <v>0.93508999999999998</v>
      </c>
      <c r="E73" s="152"/>
      <c r="F73" s="223" t="s">
        <v>1436</v>
      </c>
      <c r="G73" s="178"/>
      <c r="H73" s="311">
        <v>1242.1103800000001</v>
      </c>
      <c r="I73" s="322">
        <v>0.99350000000000005</v>
      </c>
      <c r="J73" s="152"/>
      <c r="K73" s="165"/>
      <c r="L73" s="152"/>
      <c r="M73" s="152"/>
      <c r="N73" s="152"/>
      <c r="O73" s="152"/>
      <c r="P73" s="152"/>
    </row>
    <row r="74" spans="1:16" x14ac:dyDescent="0.25">
      <c r="A74" s="152"/>
      <c r="B74" s="222" t="s">
        <v>1379</v>
      </c>
      <c r="C74" s="312">
        <v>81.158940000000001</v>
      </c>
      <c r="D74" s="325">
        <v>6.4909999999999995E-2</v>
      </c>
      <c r="E74" s="152"/>
      <c r="F74" s="202" t="s">
        <v>1435</v>
      </c>
      <c r="G74" s="221"/>
      <c r="H74" s="312">
        <v>8.1250499999999999</v>
      </c>
      <c r="I74" s="373">
        <v>6.4999999999999997E-3</v>
      </c>
      <c r="J74" s="152"/>
      <c r="K74" s="165"/>
      <c r="L74" s="152"/>
      <c r="M74" s="152"/>
      <c r="N74" s="152"/>
      <c r="O74" s="152"/>
      <c r="P74" s="152"/>
    </row>
    <row r="75" spans="1:16" ht="15.75" thickBot="1" x14ac:dyDescent="0.3">
      <c r="A75" s="152"/>
      <c r="B75" s="285" t="s">
        <v>1377</v>
      </c>
      <c r="C75" s="313">
        <f>SUM(C73:C74)</f>
        <v>1250.23542</v>
      </c>
      <c r="D75" s="316">
        <f>SUM(D73:D74)</f>
        <v>1</v>
      </c>
      <c r="E75" s="152"/>
      <c r="F75" s="285" t="s">
        <v>1377</v>
      </c>
      <c r="G75" s="177"/>
      <c r="H75" s="313">
        <f>SUM(H73:H74)</f>
        <v>1250.2354300000002</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14.432</v>
      </c>
      <c r="D79" s="326">
        <v>33.97</v>
      </c>
      <c r="E79" s="326">
        <v>56.85</v>
      </c>
      <c r="F79" s="326">
        <v>84.137</v>
      </c>
      <c r="G79" s="326">
        <v>127.29</v>
      </c>
      <c r="H79" s="326">
        <v>185.874</v>
      </c>
      <c r="I79" s="326">
        <v>245.83799999999999</v>
      </c>
      <c r="J79" s="327">
        <v>748.39</v>
      </c>
      <c r="K79" s="328">
        <v>501.84500000000003</v>
      </c>
      <c r="L79" s="327">
        <v>1250.2349999999999</v>
      </c>
      <c r="M79" s="152"/>
      <c r="N79" s="152"/>
      <c r="O79" s="152"/>
      <c r="P79" s="152"/>
    </row>
    <row r="80" spans="1:16" ht="15.75" thickBot="1" x14ac:dyDescent="0.3">
      <c r="A80" s="152"/>
      <c r="B80" s="199" t="s">
        <v>1408</v>
      </c>
      <c r="C80" s="198">
        <v>1.154E-2</v>
      </c>
      <c r="D80" s="198">
        <v>2.717E-2</v>
      </c>
      <c r="E80" s="198">
        <v>4.5469999999999997E-2</v>
      </c>
      <c r="F80" s="198">
        <v>6.7299999999999999E-2</v>
      </c>
      <c r="G80" s="198">
        <v>0.10181</v>
      </c>
      <c r="H80" s="198">
        <v>0.14867</v>
      </c>
      <c r="I80" s="198">
        <v>0.19663</v>
      </c>
      <c r="J80" s="374">
        <v>0.59860000000000002</v>
      </c>
      <c r="K80" s="375">
        <v>0.40139999999999998</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2019</v>
      </c>
      <c r="D82" s="381">
        <f>YEAR(C8)</f>
        <v>2020</v>
      </c>
      <c r="E82" s="381">
        <f>YEAR(C8)+1</f>
        <v>2021</v>
      </c>
      <c r="F82" s="381">
        <f>YEAR(C8)+2</f>
        <v>2022</v>
      </c>
      <c r="G82" s="381">
        <f>YEAR(C8)+3</f>
        <v>2023</v>
      </c>
      <c r="H82" s="381">
        <f>YEAR(C8)+4</f>
        <v>2024</v>
      </c>
      <c r="I82" s="381">
        <f>YEAR(C8)+5</f>
        <v>2025</v>
      </c>
      <c r="J82" s="381">
        <f>YEAR(C8)+6</f>
        <v>2026</v>
      </c>
      <c r="K82" s="381">
        <f>YEAR(C8)+7</f>
        <v>2027</v>
      </c>
      <c r="L82" s="381">
        <f>YEAR(C8)+8</f>
        <v>2028</v>
      </c>
      <c r="M82" s="381" t="str">
        <f>YEAR(C8)+9 &amp; " -"</f>
        <v>2029 -</v>
      </c>
      <c r="N82" s="215" t="s">
        <v>1377</v>
      </c>
      <c r="O82" s="152"/>
      <c r="P82" s="152"/>
    </row>
    <row r="83" spans="1:16" x14ac:dyDescent="0.25">
      <c r="A83" s="152"/>
      <c r="B83" s="214" t="s">
        <v>1421</v>
      </c>
      <c r="C83" s="329">
        <v>0</v>
      </c>
      <c r="D83" s="329">
        <v>69.293999999999997</v>
      </c>
      <c r="E83" s="329">
        <v>102.09399999999999</v>
      </c>
      <c r="F83" s="329">
        <v>97.364999999999995</v>
      </c>
      <c r="G83" s="329">
        <v>92.48</v>
      </c>
      <c r="H83" s="329">
        <v>90.646000000000001</v>
      </c>
      <c r="I83" s="329">
        <v>81.603999999999999</v>
      </c>
      <c r="J83" s="329">
        <v>77.525999999999996</v>
      </c>
      <c r="K83" s="329">
        <v>72.888000000000005</v>
      </c>
      <c r="L83" s="329">
        <v>67.150000000000006</v>
      </c>
      <c r="M83" s="330">
        <v>499.19799999999998</v>
      </c>
      <c r="N83" s="327">
        <f>SUM(C83:M83)</f>
        <v>1250.2449999999999</v>
      </c>
      <c r="O83" s="152"/>
      <c r="P83" s="152"/>
    </row>
    <row r="84" spans="1:16" ht="15.75" thickBot="1" x14ac:dyDescent="0.3">
      <c r="A84" s="152"/>
      <c r="B84" s="199" t="s">
        <v>1408</v>
      </c>
      <c r="C84" s="213">
        <v>0</v>
      </c>
      <c r="D84" s="213">
        <v>5.5419999999999997E-2</v>
      </c>
      <c r="E84" s="213">
        <v>8.1659999999999996E-2</v>
      </c>
      <c r="F84" s="213">
        <v>7.7880000000000005E-2</v>
      </c>
      <c r="G84" s="213">
        <v>7.3969999999999994E-2</v>
      </c>
      <c r="H84" s="213">
        <v>7.2499999999999995E-2</v>
      </c>
      <c r="I84" s="213">
        <v>6.5269999999999995E-2</v>
      </c>
      <c r="J84" s="213">
        <v>6.2010000000000003E-2</v>
      </c>
      <c r="K84" s="213">
        <v>5.8299999999999998E-2</v>
      </c>
      <c r="L84" s="213">
        <v>5.3710000000000001E-2</v>
      </c>
      <c r="M84" s="212">
        <v>0.39928000000000002</v>
      </c>
      <c r="N84" s="374">
        <f>SUM(C84:M84)</f>
        <v>1</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306.07</v>
      </c>
      <c r="D87" s="311">
        <v>287.952</v>
      </c>
      <c r="E87" s="311">
        <v>182.62299999999999</v>
      </c>
      <c r="F87" s="311">
        <v>246.904</v>
      </c>
      <c r="G87" s="311">
        <v>226.68600000000001</v>
      </c>
      <c r="H87" s="317">
        <f>SUM(C87:G87)</f>
        <v>1250.2349999999999</v>
      </c>
      <c r="I87" s="207"/>
      <c r="J87" s="152"/>
      <c r="K87" s="152"/>
      <c r="L87" s="152"/>
      <c r="M87" s="152"/>
      <c r="N87" s="152"/>
      <c r="O87" s="152"/>
      <c r="P87" s="152"/>
    </row>
    <row r="88" spans="1:16" ht="15.75" thickBot="1" x14ac:dyDescent="0.3">
      <c r="A88" s="152"/>
      <c r="B88" s="199" t="s">
        <v>1408</v>
      </c>
      <c r="C88" s="376">
        <v>0.24481</v>
      </c>
      <c r="D88" s="376">
        <v>0.23032</v>
      </c>
      <c r="E88" s="376">
        <v>0.14607000000000001</v>
      </c>
      <c r="F88" s="376">
        <v>0.19749</v>
      </c>
      <c r="G88" s="376">
        <v>0.18131</v>
      </c>
      <c r="H88" s="316">
        <f>SUM(C88:G88)</f>
        <v>0.99999999999999989</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0.80086000000000002</v>
      </c>
      <c r="D101" s="152"/>
      <c r="E101" s="152"/>
      <c r="F101" s="153" t="s">
        <v>1400</v>
      </c>
      <c r="G101" s="151"/>
      <c r="H101" s="151"/>
      <c r="I101" s="151"/>
      <c r="J101" s="152"/>
      <c r="K101" s="152"/>
      <c r="L101" s="152"/>
      <c r="M101" s="152"/>
      <c r="N101" s="152"/>
      <c r="O101" s="152"/>
      <c r="P101" s="152"/>
    </row>
    <row r="102" spans="1:16" x14ac:dyDescent="0.25">
      <c r="A102" s="152"/>
      <c r="B102" s="284" t="s">
        <v>1403</v>
      </c>
      <c r="C102" s="322">
        <v>0.92344000000000004</v>
      </c>
      <c r="D102" s="152"/>
      <c r="E102" s="152"/>
      <c r="F102" s="153" t="s">
        <v>1397</v>
      </c>
      <c r="G102" s="151"/>
      <c r="H102" s="151"/>
      <c r="I102" s="151"/>
      <c r="J102" s="152"/>
      <c r="K102" s="152"/>
      <c r="L102" s="152"/>
      <c r="M102" s="152"/>
      <c r="N102" s="152"/>
      <c r="O102" s="152"/>
      <c r="P102" s="152"/>
    </row>
    <row r="103" spans="1:16" x14ac:dyDescent="0.25">
      <c r="A103" s="152"/>
      <c r="B103" s="284" t="s">
        <v>1402</v>
      </c>
      <c r="C103" s="322">
        <v>0.81469999999999998</v>
      </c>
      <c r="D103" s="152"/>
      <c r="E103" s="152"/>
      <c r="F103" s="153" t="s">
        <v>1400</v>
      </c>
      <c r="G103" s="151"/>
      <c r="H103" s="151"/>
      <c r="I103" s="151"/>
      <c r="J103" s="152"/>
      <c r="K103" s="152"/>
      <c r="L103" s="152"/>
      <c r="M103" s="152"/>
      <c r="N103" s="152"/>
      <c r="O103" s="152"/>
      <c r="P103" s="152"/>
    </row>
    <row r="104" spans="1:16" x14ac:dyDescent="0.25">
      <c r="A104" s="152"/>
      <c r="B104" s="284" t="s">
        <v>1401</v>
      </c>
      <c r="C104" s="331">
        <v>0.63571</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0.65344999999999998</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7.46</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3.31</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1169.077</v>
      </c>
      <c r="D124" s="346">
        <v>0</v>
      </c>
      <c r="E124" s="345"/>
      <c r="F124" s="346">
        <v>-650</v>
      </c>
      <c r="G124" s="345">
        <v>1169.077</v>
      </c>
      <c r="H124" s="347">
        <v>650</v>
      </c>
      <c r="I124" s="151"/>
      <c r="J124" s="151"/>
      <c r="K124" s="152"/>
      <c r="L124" s="152"/>
      <c r="M124" s="152"/>
      <c r="N124" s="152"/>
      <c r="O124" s="152"/>
      <c r="P124" s="152"/>
    </row>
    <row r="125" spans="1:16" x14ac:dyDescent="0.25">
      <c r="A125" s="152"/>
      <c r="B125" s="167" t="s">
        <v>1379</v>
      </c>
      <c r="C125" s="348">
        <v>81.159000000000006</v>
      </c>
      <c r="D125" s="349">
        <v>650</v>
      </c>
      <c r="E125" s="348"/>
      <c r="F125" s="349">
        <v>650</v>
      </c>
      <c r="G125" s="348">
        <v>81.159000000000006</v>
      </c>
      <c r="H125" s="350">
        <v>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1250.2360000000001</v>
      </c>
      <c r="D127" s="355">
        <f t="shared" si="1"/>
        <v>650</v>
      </c>
      <c r="E127" s="354">
        <f t="shared" si="1"/>
        <v>0</v>
      </c>
      <c r="F127" s="355">
        <f t="shared" si="1"/>
        <v>0</v>
      </c>
      <c r="G127" s="354">
        <f t="shared" si="1"/>
        <v>1250.2360000000001</v>
      </c>
      <c r="H127" s="356">
        <f t="shared" si="1"/>
        <v>650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16.692</v>
      </c>
      <c r="D132" s="311">
        <v>14.241</v>
      </c>
      <c r="E132" s="311">
        <v>12.933</v>
      </c>
      <c r="F132" s="311">
        <v>11.807</v>
      </c>
      <c r="G132" s="311">
        <v>10.704000000000001</v>
      </c>
      <c r="H132" s="311">
        <v>9.7189999999999994</v>
      </c>
      <c r="I132" s="311">
        <v>8.7690000000000001</v>
      </c>
      <c r="J132" s="311">
        <v>7.7789999999999999</v>
      </c>
      <c r="K132" s="311">
        <v>6.69</v>
      </c>
      <c r="L132" s="317">
        <v>5.7839999999999998</v>
      </c>
      <c r="M132" s="152"/>
      <c r="N132" s="152"/>
      <c r="O132" s="152"/>
      <c r="P132" s="152"/>
    </row>
    <row r="133" spans="1:16" x14ac:dyDescent="0.25">
      <c r="A133" s="152"/>
      <c r="B133" s="161" t="s">
        <v>1363</v>
      </c>
      <c r="C133" s="311">
        <v>0.51100000000000001</v>
      </c>
      <c r="D133" s="311">
        <v>1.569</v>
      </c>
      <c r="E133" s="311">
        <v>1.42</v>
      </c>
      <c r="F133" s="311">
        <v>3.7999999999999999E-2</v>
      </c>
      <c r="G133" s="311">
        <v>-3.1E-2</v>
      </c>
      <c r="H133" s="311"/>
      <c r="I133" s="311"/>
      <c r="J133" s="311"/>
      <c r="K133" s="311"/>
      <c r="L133" s="317"/>
      <c r="M133" s="152"/>
      <c r="N133" s="152"/>
      <c r="O133" s="152"/>
      <c r="P133" s="152"/>
    </row>
    <row r="134" spans="1:16" ht="15.75" thickBot="1" x14ac:dyDescent="0.3">
      <c r="A134" s="152"/>
      <c r="B134" s="159" t="s">
        <v>1362</v>
      </c>
      <c r="C134" s="313">
        <f t="shared" ref="C134:L134" si="2">SUM(C132:C133)</f>
        <v>17.202999999999999</v>
      </c>
      <c r="D134" s="313">
        <f t="shared" si="2"/>
        <v>15.809999999999999</v>
      </c>
      <c r="E134" s="313">
        <f t="shared" si="2"/>
        <v>14.353</v>
      </c>
      <c r="F134" s="313">
        <f t="shared" si="2"/>
        <v>11.845000000000001</v>
      </c>
      <c r="G134" s="313">
        <f t="shared" si="2"/>
        <v>10.673</v>
      </c>
      <c r="H134" s="313">
        <f t="shared" si="2"/>
        <v>9.7189999999999994</v>
      </c>
      <c r="I134" s="313">
        <f t="shared" si="2"/>
        <v>8.7690000000000001</v>
      </c>
      <c r="J134" s="313">
        <f t="shared" si="2"/>
        <v>7.7789999999999999</v>
      </c>
      <c r="K134" s="313">
        <f t="shared" si="2"/>
        <v>6.69</v>
      </c>
      <c r="L134" s="307">
        <f t="shared" si="2"/>
        <v>5.7839999999999998</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35.311999999999998</v>
      </c>
      <c r="H75" s="23"/>
    </row>
    <row r="76" spans="1:14" x14ac:dyDescent="0.25">
      <c r="A76" s="25" t="s">
        <v>1262</v>
      </c>
      <c r="B76" s="25" t="s">
        <v>1299</v>
      </c>
      <c r="C76" s="147">
        <v>179.83099999999999</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5.79E-3</v>
      </c>
      <c r="D82" s="95" t="s">
        <v>976</v>
      </c>
      <c r="E82" s="95" t="s">
        <v>976</v>
      </c>
      <c r="F82" s="95" t="s">
        <v>976</v>
      </c>
      <c r="G82" s="95">
        <v>5.79E-3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prod_svc_ctrlm</cp:lastModifiedBy>
  <cp:lastPrinted>2016-05-20T08:25:54Z</cp:lastPrinted>
  <dcterms:created xsi:type="dcterms:W3CDTF">2016-04-21T08:07:20Z</dcterms:created>
  <dcterms:modified xsi:type="dcterms:W3CDTF">2020-04-01T13:55:42Z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